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3456" activeTab="0"/>
  </bookViews>
  <sheets>
    <sheet name="Geodetic to Cartesian" sheetId="1" r:id="rId1"/>
    <sheet name="7 parameter transformation" sheetId="2" r:id="rId2"/>
    <sheet name="Cartesian to geodetic" sheetId="3" r:id="rId3"/>
    <sheet name="Test Data" sheetId="4" r:id="rId4"/>
  </sheets>
  <definedNames/>
  <calcPr fullCalcOnLoad="1"/>
</workbook>
</file>

<file path=xl/sharedStrings.xml><?xml version="1.0" encoding="utf-8"?>
<sst xmlns="http://schemas.openxmlformats.org/spreadsheetml/2006/main" count="146" uniqueCount="67">
  <si>
    <t>Conversion of Geodetic Coordinates to "Earth-centred" Cartesian Coordinates</t>
  </si>
  <si>
    <t>deg</t>
  </si>
  <si>
    <t>min</t>
  </si>
  <si>
    <t>secs</t>
  </si>
  <si>
    <t>abs dec deg</t>
  </si>
  <si>
    <t>dec deg</t>
  </si>
  <si>
    <t>radians</t>
  </si>
  <si>
    <t>Latitude</t>
  </si>
  <si>
    <t>X</t>
  </si>
  <si>
    <t>Longitude</t>
  </si>
  <si>
    <t>Y</t>
  </si>
  <si>
    <t>Ellipsoidal height</t>
  </si>
  <si>
    <t>Z</t>
  </si>
  <si>
    <t>Ellipsoid</t>
  </si>
  <si>
    <t>Semi major axis (a)</t>
  </si>
  <si>
    <t>Inverse flattening (1/f)</t>
  </si>
  <si>
    <t>f</t>
  </si>
  <si>
    <r>
      <t>e</t>
    </r>
    <r>
      <rPr>
        <vertAlign val="superscript"/>
        <sz val="10"/>
        <rFont val="Arial"/>
        <family val="2"/>
      </rPr>
      <t>2</t>
    </r>
  </si>
  <si>
    <t>n</t>
  </si>
  <si>
    <t>Input</t>
  </si>
  <si>
    <t>Output</t>
  </si>
  <si>
    <t>3 Dimensional Similarity Transformation</t>
  </si>
  <si>
    <t>INPUT</t>
  </si>
  <si>
    <t>Parameters (from -&gt; to)</t>
  </si>
  <si>
    <t>OUTPUT</t>
  </si>
  <si>
    <t>WGS 84</t>
  </si>
  <si>
    <r>
      <t>D</t>
    </r>
    <r>
      <rPr>
        <vertAlign val="subscript"/>
        <sz val="10"/>
        <rFont val="Arial"/>
        <family val="2"/>
      </rPr>
      <t>X</t>
    </r>
  </si>
  <si>
    <t>(metres)</t>
  </si>
  <si>
    <t>Xs</t>
  </si>
  <si>
    <r>
      <t>D</t>
    </r>
    <r>
      <rPr>
        <vertAlign val="subscript"/>
        <sz val="10"/>
        <rFont val="Arial"/>
        <family val="2"/>
      </rPr>
      <t>Y</t>
    </r>
  </si>
  <si>
    <t>Ys</t>
  </si>
  <si>
    <r>
      <t>D</t>
    </r>
    <r>
      <rPr>
        <vertAlign val="subscript"/>
        <sz val="10"/>
        <rFont val="Arial"/>
        <family val="2"/>
      </rPr>
      <t>Z</t>
    </r>
  </si>
  <si>
    <t>Zs</t>
  </si>
  <si>
    <r>
      <t>R</t>
    </r>
    <r>
      <rPr>
        <vertAlign val="subscript"/>
        <sz val="10"/>
        <rFont val="Arial"/>
        <family val="2"/>
      </rPr>
      <t>X</t>
    </r>
  </si>
  <si>
    <t>(seconds)</t>
  </si>
  <si>
    <r>
      <t>R</t>
    </r>
    <r>
      <rPr>
        <vertAlign val="subscript"/>
        <sz val="10"/>
        <rFont val="Arial"/>
        <family val="2"/>
      </rPr>
      <t>Y</t>
    </r>
  </si>
  <si>
    <r>
      <t>R</t>
    </r>
    <r>
      <rPr>
        <vertAlign val="subscript"/>
        <sz val="10"/>
        <rFont val="Arial"/>
        <family val="2"/>
      </rPr>
      <t>Z</t>
    </r>
  </si>
  <si>
    <t>Sc</t>
  </si>
  <si>
    <t>(ppm)</t>
  </si>
  <si>
    <t>Rx</t>
  </si>
  <si>
    <t>(radians)</t>
  </si>
  <si>
    <t>Ry</t>
  </si>
  <si>
    <t>Rz</t>
  </si>
  <si>
    <t>Scale factor</t>
  </si>
  <si>
    <t>+</t>
  </si>
  <si>
    <t>=</t>
  </si>
  <si>
    <t>Conversion of "Earth-centred" Cartesian Coordinates to Geodetic Coordinates</t>
  </si>
  <si>
    <t>sec</t>
  </si>
  <si>
    <t>p</t>
  </si>
  <si>
    <t>r</t>
  </si>
  <si>
    <t>m</t>
  </si>
  <si>
    <t>longitude</t>
  </si>
  <si>
    <t>latitude</t>
  </si>
  <si>
    <t>ellip height</t>
  </si>
  <si>
    <t>latitudetop line</t>
  </si>
  <si>
    <t>latitude bottom line</t>
  </si>
  <si>
    <t>From</t>
  </si>
  <si>
    <t>ANS (AGD84)</t>
  </si>
  <si>
    <r>
      <t>D</t>
    </r>
    <r>
      <rPr>
        <b/>
        <vertAlign val="subscript"/>
        <sz val="10"/>
        <rFont val="Arial"/>
        <family val="2"/>
      </rPr>
      <t>X</t>
    </r>
  </si>
  <si>
    <r>
      <t>D</t>
    </r>
    <r>
      <rPr>
        <b/>
        <vertAlign val="subscript"/>
        <sz val="10"/>
        <rFont val="Arial"/>
        <family val="2"/>
      </rPr>
      <t>Y</t>
    </r>
  </si>
  <si>
    <r>
      <t>D</t>
    </r>
    <r>
      <rPr>
        <b/>
        <vertAlign val="subscript"/>
        <sz val="10"/>
        <rFont val="Arial"/>
        <family val="2"/>
      </rPr>
      <t>Z</t>
    </r>
  </si>
  <si>
    <r>
      <t>R</t>
    </r>
    <r>
      <rPr>
        <b/>
        <vertAlign val="subscript"/>
        <sz val="10"/>
        <rFont val="Arial"/>
        <family val="2"/>
      </rPr>
      <t>X</t>
    </r>
  </si>
  <si>
    <r>
      <t>R</t>
    </r>
    <r>
      <rPr>
        <b/>
        <vertAlign val="subscript"/>
        <sz val="10"/>
        <rFont val="Arial"/>
        <family val="2"/>
      </rPr>
      <t>Y</t>
    </r>
  </si>
  <si>
    <r>
      <t>R</t>
    </r>
    <r>
      <rPr>
        <b/>
        <vertAlign val="subscript"/>
        <sz val="10"/>
        <rFont val="Arial"/>
        <family val="2"/>
      </rPr>
      <t>Z</t>
    </r>
  </si>
  <si>
    <t>To</t>
  </si>
  <si>
    <t>GRS80 (GDA94)</t>
  </si>
  <si>
    <t>Bessel</t>
  </si>
</sst>
</file>

<file path=xl/styles.xml><?xml version="1.0" encoding="utf-8"?>
<styleSheet xmlns="http://schemas.openxmlformats.org/spreadsheetml/2006/main">
  <numFmts count="3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0"/>
    <numFmt numFmtId="175" formatCode="0.000000000"/>
    <numFmt numFmtId="176" formatCode="0.0000000000"/>
    <numFmt numFmtId="177" formatCode="0,000,000.000"/>
    <numFmt numFmtId="178" formatCode="000\°"/>
    <numFmt numFmtId="179" formatCode="00\°"/>
    <numFmt numFmtId="180" formatCode="00\'"/>
    <numFmt numFmtId="181" formatCode="00.00000\&quot;"/>
    <numFmt numFmtId="182" formatCode="0.0"/>
    <numFmt numFmtId="183" formatCode="\,000,000.000"/>
    <numFmt numFmtId="184" formatCode="000,000.000"/>
    <numFmt numFmtId="185" formatCode="00.0000\&quot;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4" fontId="0" fillId="0" borderId="0" xfId="0" applyNumberFormat="1" applyAlignment="1">
      <alignment horizontal="centerContinuous"/>
    </xf>
    <xf numFmtId="173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6" fontId="0" fillId="0" borderId="0" xfId="0" applyNumberFormat="1" applyAlignment="1">
      <alignment horizontal="lef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176" fontId="0" fillId="0" borderId="2" xfId="0" applyNumberFormat="1" applyBorder="1" applyAlignment="1">
      <alignment horizontal="center"/>
    </xf>
    <xf numFmtId="176" fontId="0" fillId="0" borderId="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 horizontal="center"/>
    </xf>
    <xf numFmtId="176" fontId="0" fillId="0" borderId="3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2" borderId="0" xfId="0" applyFont="1" applyFill="1" applyBorder="1" applyAlignment="1">
      <alignment horizontal="centerContinuous"/>
    </xf>
    <xf numFmtId="0" fontId="0" fillId="0" borderId="0" xfId="0" applyBorder="1" applyAlignment="1">
      <alignment horizontal="right"/>
    </xf>
    <xf numFmtId="173" fontId="0" fillId="2" borderId="0" xfId="0" applyNumberFormat="1" applyFill="1" applyBorder="1" applyAlignment="1">
      <alignment horizontal="right"/>
    </xf>
    <xf numFmtId="172" fontId="0" fillId="2" borderId="0" xfId="0" applyNumberFormat="1" applyFill="1" applyBorder="1" applyAlignment="1">
      <alignment horizontal="right"/>
    </xf>
    <xf numFmtId="173" fontId="6" fillId="3" borderId="0" xfId="0" applyNumberFormat="1" applyFont="1" applyFill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3" fontId="0" fillId="0" borderId="8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172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9" fillId="0" borderId="0" xfId="0" applyFont="1" applyBorder="1" applyAlignment="1">
      <alignment/>
    </xf>
    <xf numFmtId="179" fontId="0" fillId="2" borderId="0" xfId="0" applyNumberFormat="1" applyFill="1" applyBorder="1" applyAlignment="1">
      <alignment/>
    </xf>
    <xf numFmtId="180" fontId="0" fillId="2" borderId="0" xfId="0" applyNumberFormat="1" applyFill="1" applyBorder="1" applyAlignment="1">
      <alignment/>
    </xf>
    <xf numFmtId="181" fontId="0" fillId="2" borderId="0" xfId="0" applyNumberFormat="1" applyFill="1" applyBorder="1" applyAlignment="1">
      <alignment/>
    </xf>
    <xf numFmtId="177" fontId="6" fillId="3" borderId="0" xfId="0" applyNumberFormat="1" applyFont="1" applyFill="1" applyBorder="1" applyAlignment="1">
      <alignment/>
    </xf>
    <xf numFmtId="173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0" fontId="9" fillId="0" borderId="0" xfId="0" applyFont="1" applyAlignment="1">
      <alignment/>
    </xf>
    <xf numFmtId="181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2" fontId="0" fillId="2" borderId="0" xfId="0" applyNumberFormat="1" applyFill="1" applyBorder="1" applyAlignment="1">
      <alignment/>
    </xf>
    <xf numFmtId="172" fontId="0" fillId="2" borderId="8" xfId="0" applyNumberFormat="1" applyFill="1" applyBorder="1" applyAlignment="1">
      <alignment/>
    </xf>
    <xf numFmtId="184" fontId="6" fillId="3" borderId="0" xfId="0" applyNumberFormat="1" applyFont="1" applyFill="1" applyBorder="1" applyAlignment="1">
      <alignment/>
    </xf>
    <xf numFmtId="184" fontId="11" fillId="2" borderId="0" xfId="0" applyNumberFormat="1" applyFont="1" applyFill="1" applyBorder="1" applyAlignment="1">
      <alignment/>
    </xf>
    <xf numFmtId="173" fontId="6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85" fontId="0" fillId="2" borderId="0" xfId="0" applyNumberFormat="1" applyFill="1" applyBorder="1" applyAlignment="1">
      <alignment/>
    </xf>
    <xf numFmtId="1" fontId="11" fillId="2" borderId="0" xfId="0" applyNumberFormat="1" applyFont="1" applyFill="1" applyAlignment="1">
      <alignment/>
    </xf>
    <xf numFmtId="0" fontId="0" fillId="2" borderId="3" xfId="0" applyFill="1" applyBorder="1" applyAlignment="1">
      <alignment/>
    </xf>
    <xf numFmtId="0" fontId="0" fillId="2" borderId="9" xfId="0" applyFill="1" applyBorder="1" applyAlignment="1">
      <alignment/>
    </xf>
    <xf numFmtId="173" fontId="0" fillId="2" borderId="8" xfId="0" applyNumberFormat="1" applyFont="1" applyFill="1" applyBorder="1" applyAlignment="1">
      <alignment horizontal="right"/>
    </xf>
    <xf numFmtId="173" fontId="0" fillId="2" borderId="8" xfId="0" applyNumberFormat="1" applyFill="1" applyBorder="1" applyAlignment="1">
      <alignment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18</xdr:row>
      <xdr:rowOff>104775</xdr:rowOff>
    </xdr:from>
    <xdr:to>
      <xdr:col>11</xdr:col>
      <xdr:colOff>819150</xdr:colOff>
      <xdr:row>28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" y="2581275"/>
          <a:ext cx="547687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Enter the name of the ellipsoid associated with the geodetic coordinates in C12
2. Enter the semi major axis (metres) and inverse flattening of the associated ellipsoid in D13:D14
3. Enter the latitude in D7:F7 (south latitudes are negative)
4. Enter the longitude in D8:D7
5. Enter the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ellipsoidal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height (metres) in D9 (note that it must be the ELLIPSOIDAL height)
6. Note the Earth-centred Cartesian coordinates (metres) from L7:L9
To see the intermediate calculations, use Excel's outlining tool to show the hidden rows.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33</xdr:row>
      <xdr:rowOff>76200</xdr:rowOff>
    </xdr:from>
    <xdr:to>
      <xdr:col>8</xdr:col>
      <xdr:colOff>190500</xdr:colOff>
      <xdr:row>44</xdr:row>
      <xdr:rowOff>0</xdr:rowOff>
    </xdr:to>
    <xdr:sp>
      <xdr:nvSpPr>
        <xdr:cNvPr id="1" name="Text 20"/>
        <xdr:cNvSpPr txBox="1">
          <a:spLocks noChangeArrowheads="1"/>
        </xdr:cNvSpPr>
      </xdr:nvSpPr>
      <xdr:spPr>
        <a:xfrm>
          <a:off x="200025" y="2419350"/>
          <a:ext cx="496252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Enter the name of the starting coordinate system in C5 (documentation only)
2. Enter the starting coordinates in D6:D8 (by default they will be taken from the output of the Geodetic to Cartesian sheet.
3. Enter the name of the resulting coordinate system in C5 (documentation only)
4. Enter the 7 transformation parameters in G6:G12
5. Note the transformed position from K6:K8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Warning: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be careful of the sign convention for rotations. See the attached notes.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27</xdr:row>
      <xdr:rowOff>152400</xdr:rowOff>
    </xdr:from>
    <xdr:to>
      <xdr:col>9</xdr:col>
      <xdr:colOff>38100</xdr:colOff>
      <xdr:row>36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628900"/>
          <a:ext cx="582930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Enter the name of the reference ellipsoid in C11 (documentation only)
2. Enter the semi major axis (metres) and inverse flattening of the reference ellipsoid in D12 &amp; D13
3. Enter the XYZ coordinates in D6:D8 (by default they are taklen from the  transformation sheet)
4. Read the resulting latitude, longitude and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ellipsoidal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height from G6:I8
(note that it is the ELLIPSOIDAL height)
To see the intermediate calculations, use Excel's outlining tool to show the hidden rows.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1"/>
  <sheetViews>
    <sheetView showGridLines="0" tabSelected="1" showOutlineSymbols="0" zoomScale="80" zoomScaleNormal="80" workbookViewId="0" topLeftCell="A1">
      <selection activeCell="D10" sqref="D10"/>
    </sheetView>
  </sheetViews>
  <sheetFormatPr defaultColWidth="9.140625" defaultRowHeight="12.75" outlineLevelRow="1" outlineLevelCol="1"/>
  <cols>
    <col min="1" max="1" width="4.28125" style="0" customWidth="1"/>
    <col min="2" max="2" width="4.7109375" style="0" customWidth="1"/>
    <col min="3" max="3" width="18.28125" style="0" customWidth="1"/>
    <col min="4" max="4" width="12.00390625" style="0" customWidth="1"/>
    <col min="5" max="5" width="6.00390625" style="0" customWidth="1"/>
    <col min="6" max="6" width="10.57421875" style="0" customWidth="1"/>
    <col min="7" max="7" width="11.140625" style="0" hidden="1" customWidth="1" outlineLevel="1"/>
    <col min="8" max="9" width="9.140625" style="0" hidden="1" customWidth="1" outlineLevel="1"/>
    <col min="10" max="10" width="8.8515625" style="0" customWidth="1" collapsed="1"/>
    <col min="12" max="12" width="14.8515625" style="0" customWidth="1"/>
    <col min="14" max="14" width="3.57421875" style="0" customWidth="1"/>
  </cols>
  <sheetData>
    <row r="1" ht="13.5" thickBot="1"/>
    <row r="2" spans="2:14" ht="12.75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2:14" ht="15">
      <c r="B3" s="7"/>
      <c r="C3" s="50" t="s">
        <v>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8"/>
    </row>
    <row r="4" spans="2:14" ht="12.7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8"/>
    </row>
    <row r="5" spans="2:14" ht="12.7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8"/>
    </row>
    <row r="6" spans="2:14" ht="12.75">
      <c r="B6" s="7"/>
      <c r="C6" s="11"/>
      <c r="D6" s="36" t="s">
        <v>1</v>
      </c>
      <c r="E6" s="36" t="s">
        <v>2</v>
      </c>
      <c r="F6" s="36" t="s">
        <v>3</v>
      </c>
      <c r="G6" s="11" t="s">
        <v>4</v>
      </c>
      <c r="H6" s="11" t="s">
        <v>5</v>
      </c>
      <c r="I6" s="11" t="s">
        <v>6</v>
      </c>
      <c r="J6" s="11"/>
      <c r="K6" s="11"/>
      <c r="L6" s="11"/>
      <c r="M6" s="11"/>
      <c r="N6" s="8"/>
    </row>
    <row r="7" spans="2:14" ht="12.75">
      <c r="B7" s="7"/>
      <c r="C7" s="11" t="s">
        <v>7</v>
      </c>
      <c r="D7" s="53">
        <v>46</v>
      </c>
      <c r="E7" s="54">
        <v>41</v>
      </c>
      <c r="F7" s="55">
        <v>34.44</v>
      </c>
      <c r="G7" s="11">
        <f>ABS(D7)+ABS(E7/60)+ABS(F7/3600)</f>
        <v>46.692899999999995</v>
      </c>
      <c r="H7" s="11">
        <f>IF(D7&lt;0,-G7,IF(E7&lt;0,-G7,IF(F7&lt;0,-G7,G7)))</f>
        <v>46.692899999999995</v>
      </c>
      <c r="I7" s="11">
        <f>(H7/180)*PI()</f>
        <v>0.8149448423044603</v>
      </c>
      <c r="J7" s="11"/>
      <c r="K7" s="11" t="s">
        <v>8</v>
      </c>
      <c r="L7" s="65">
        <f>(D17+D9)*COS(I7)*COS(I8)</f>
        <v>4243058.118552219</v>
      </c>
      <c r="M7" s="11"/>
      <c r="N7" s="8"/>
    </row>
    <row r="8" spans="2:14" ht="12.75">
      <c r="B8" s="7"/>
      <c r="C8" s="11" t="s">
        <v>9</v>
      </c>
      <c r="D8" s="53">
        <v>14</v>
      </c>
      <c r="E8" s="54">
        <v>29</v>
      </c>
      <c r="F8" s="55">
        <v>9.49</v>
      </c>
      <c r="G8" s="11">
        <f>ABS(D8)+ABS(E8/60)+ABS(F8/3600)</f>
        <v>14.485969444444443</v>
      </c>
      <c r="H8" s="11">
        <f>IF(D8&lt;0,-G8,IF(E8&lt;0,-G8,IF(F8&lt;0,-G8,G8)))</f>
        <v>14.485969444444443</v>
      </c>
      <c r="I8" s="11">
        <f>(H8/180)*PI()</f>
        <v>0.25282786214884934</v>
      </c>
      <c r="J8" s="11"/>
      <c r="K8" s="11" t="s">
        <v>10</v>
      </c>
      <c r="L8" s="65">
        <f>(D17+D9)*COS(I7)*SIN(I8)</f>
        <v>1096220.9795920462</v>
      </c>
      <c r="M8" s="11"/>
      <c r="N8" s="8"/>
    </row>
    <row r="9" spans="2:14" ht="12.75">
      <c r="B9" s="7"/>
      <c r="C9" s="11" t="s">
        <v>11</v>
      </c>
      <c r="D9" s="57">
        <v>462.11</v>
      </c>
      <c r="E9" s="11"/>
      <c r="F9" s="11"/>
      <c r="G9" s="11"/>
      <c r="H9" s="11"/>
      <c r="I9" s="11"/>
      <c r="J9" s="11"/>
      <c r="K9" s="11" t="s">
        <v>12</v>
      </c>
      <c r="L9" s="65">
        <f>((1-D16)*D17+D9)*SIN(I7)</f>
        <v>4618283.820993953</v>
      </c>
      <c r="M9" s="11"/>
      <c r="N9" s="8"/>
    </row>
    <row r="10" spans="2:14" ht="12.75">
      <c r="B10" s="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8"/>
    </row>
    <row r="11" spans="2:14" ht="12.75">
      <c r="B11" s="7"/>
      <c r="C11" s="32" t="s">
        <v>13</v>
      </c>
      <c r="D11" s="11"/>
      <c r="E11" s="11"/>
      <c r="F11" s="11"/>
      <c r="G11" s="11"/>
      <c r="H11" s="11"/>
      <c r="I11" s="11"/>
      <c r="J11" s="11"/>
      <c r="K11" s="11"/>
      <c r="L11" s="39"/>
      <c r="M11" s="11"/>
      <c r="N11" s="8"/>
    </row>
    <row r="12" spans="2:14" ht="12.75">
      <c r="B12" s="7"/>
      <c r="C12" s="51" t="s">
        <v>66</v>
      </c>
      <c r="D12" s="11"/>
      <c r="E12" s="11"/>
      <c r="F12" s="11"/>
      <c r="G12" s="11"/>
      <c r="H12" s="11"/>
      <c r="I12" s="11"/>
      <c r="J12" s="11"/>
      <c r="K12" s="11"/>
      <c r="L12" s="39"/>
      <c r="M12" s="11"/>
      <c r="N12" s="8"/>
    </row>
    <row r="13" spans="2:14" ht="12.75">
      <c r="B13" s="7"/>
      <c r="C13" s="11" t="s">
        <v>14</v>
      </c>
      <c r="D13" s="63">
        <v>6377397.155</v>
      </c>
      <c r="E13" s="11"/>
      <c r="F13" s="11"/>
      <c r="G13" s="11"/>
      <c r="H13" s="11"/>
      <c r="I13" s="11"/>
      <c r="J13" s="11"/>
      <c r="K13" s="11"/>
      <c r="L13" s="39"/>
      <c r="M13" s="11"/>
      <c r="N13" s="8"/>
    </row>
    <row r="14" spans="2:14" ht="13.5" thickBot="1">
      <c r="B14" s="41"/>
      <c r="C14" s="42" t="s">
        <v>15</v>
      </c>
      <c r="D14" s="64">
        <v>299.1528128</v>
      </c>
      <c r="E14" s="42"/>
      <c r="F14" s="42"/>
      <c r="G14" s="42"/>
      <c r="H14" s="42"/>
      <c r="I14" s="42"/>
      <c r="J14" s="42"/>
      <c r="K14" s="42"/>
      <c r="L14" s="42"/>
      <c r="M14" s="42"/>
      <c r="N14" s="47"/>
    </row>
    <row r="15" spans="2:14" ht="12.75" hidden="1" outlineLevel="1">
      <c r="B15" s="11"/>
      <c r="C15" s="11" t="s">
        <v>16</v>
      </c>
      <c r="D15" s="11">
        <f>1/D14</f>
        <v>0.003342773182174806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2:14" ht="15" hidden="1" outlineLevel="1">
      <c r="B16" s="11"/>
      <c r="C16" s="11" t="s">
        <v>17</v>
      </c>
      <c r="D16" s="11">
        <f>2*D15-D15*D15</f>
        <v>0.006674372231802145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2:14" ht="12.75" hidden="1" outlineLevel="1">
      <c r="B17" s="11"/>
      <c r="C17" s="52" t="s">
        <v>18</v>
      </c>
      <c r="D17" s="11">
        <f>D13/SQRT(1-D16*SIN(I7)*SIN(I7))</f>
        <v>6388696.859758067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ht="12.75" collapsed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20" ht="12.75">
      <c r="M20" s="33" t="s">
        <v>19</v>
      </c>
    </row>
    <row r="21" ht="12.75">
      <c r="M21" s="49" t="s">
        <v>20</v>
      </c>
    </row>
  </sheetData>
  <printOptions/>
  <pageMargins left="0.75" right="0.75" top="1" bottom="1" header="0.5" footer="0.5"/>
  <pageSetup fitToHeight="1" fitToWidth="1" orientation="landscape" paperSize="9" r:id="rId2"/>
  <headerFooter alignWithMargins="0">
    <oddHeader>&amp;CGeodetic (Lat, Long, Ellip Ht.) to Cartesian (XYZ)</oddHeader>
    <oddFooter>&amp;Chttp://www.anzlic.org.au/icsm/gdatm.htm&amp;R&amp;D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8"/>
  <sheetViews>
    <sheetView showGridLines="0" showOutlineSymbols="0" zoomScale="80" zoomScaleNormal="80" workbookViewId="0" topLeftCell="A1">
      <selection activeCell="J39" sqref="J39"/>
    </sheetView>
  </sheetViews>
  <sheetFormatPr defaultColWidth="9.140625" defaultRowHeight="12.75" outlineLevelRow="1"/>
  <cols>
    <col min="1" max="1" width="2.140625" style="0" customWidth="1"/>
    <col min="2" max="2" width="2.00390625" style="0" customWidth="1"/>
    <col min="3" max="3" width="8.421875" style="0" customWidth="1"/>
    <col min="4" max="4" width="13.7109375" style="0" customWidth="1"/>
    <col min="5" max="5" width="12.8515625" style="0" customWidth="1"/>
    <col min="6" max="6" width="12.7109375" style="0" customWidth="1"/>
    <col min="7" max="7" width="14.28125" style="0" customWidth="1"/>
    <col min="8" max="8" width="8.421875" style="0" customWidth="1"/>
    <col min="9" max="11" width="14.28125" style="0" customWidth="1"/>
    <col min="12" max="12" width="2.140625" style="0" customWidth="1"/>
    <col min="13" max="13" width="13.140625" style="0" customWidth="1"/>
    <col min="14" max="14" width="12.140625" style="0" customWidth="1"/>
    <col min="15" max="15" width="7.00390625" style="0" customWidth="1"/>
    <col min="16" max="16" width="14.8515625" style="0" customWidth="1"/>
  </cols>
  <sheetData>
    <row r="1" ht="15.75" customHeight="1" thickBot="1"/>
    <row r="2" spans="2:12" ht="9.75" customHeight="1">
      <c r="B2" s="28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2:12" ht="17.25">
      <c r="B3" s="7"/>
      <c r="C3" s="31" t="s">
        <v>21</v>
      </c>
      <c r="D3" s="11"/>
      <c r="E3" s="11"/>
      <c r="F3" s="11"/>
      <c r="G3" s="11"/>
      <c r="H3" s="11"/>
      <c r="I3" s="11"/>
      <c r="J3" s="11"/>
      <c r="K3" s="11"/>
      <c r="L3" s="8"/>
    </row>
    <row r="4" spans="2:12" ht="12.75">
      <c r="B4" s="7"/>
      <c r="C4" s="11"/>
      <c r="D4" s="11"/>
      <c r="E4" s="11"/>
      <c r="F4" s="11"/>
      <c r="G4" s="11"/>
      <c r="H4" s="11"/>
      <c r="I4" s="11"/>
      <c r="J4" s="11"/>
      <c r="K4" s="11"/>
      <c r="L4" s="8"/>
    </row>
    <row r="5" spans="2:16" ht="12.75">
      <c r="B5" s="7"/>
      <c r="C5" s="32" t="s">
        <v>22</v>
      </c>
      <c r="D5" s="33" t="s">
        <v>66</v>
      </c>
      <c r="E5" s="11"/>
      <c r="F5" s="26" t="s">
        <v>23</v>
      </c>
      <c r="G5" s="27"/>
      <c r="H5" s="27"/>
      <c r="I5" s="27"/>
      <c r="J5" s="34" t="s">
        <v>24</v>
      </c>
      <c r="K5" s="35" t="s">
        <v>25</v>
      </c>
      <c r="L5" s="8"/>
      <c r="O5" s="11"/>
      <c r="P5" s="11"/>
    </row>
    <row r="6" spans="2:18" ht="15">
      <c r="B6" s="7"/>
      <c r="C6" s="36" t="s">
        <v>8</v>
      </c>
      <c r="D6" s="37">
        <f>'Geodetic to Cartesian'!L7</f>
        <v>4243058.118552219</v>
      </c>
      <c r="E6" s="27"/>
      <c r="F6" s="36" t="s">
        <v>26</v>
      </c>
      <c r="G6" s="38">
        <v>586</v>
      </c>
      <c r="H6" s="48" t="s">
        <v>27</v>
      </c>
      <c r="I6" s="11"/>
      <c r="J6" s="36" t="s">
        <v>28</v>
      </c>
      <c r="K6" s="39">
        <f>E31</f>
        <v>4243651.431469634</v>
      </c>
      <c r="L6" s="8"/>
      <c r="O6" s="11"/>
      <c r="P6" s="11"/>
      <c r="Q6" s="11"/>
      <c r="R6" s="11"/>
    </row>
    <row r="7" spans="2:18" ht="15">
      <c r="B7" s="7"/>
      <c r="C7" s="36" t="s">
        <v>10</v>
      </c>
      <c r="D7" s="37">
        <f>'Geodetic to Cartesian'!L8</f>
        <v>1096220.9795920462</v>
      </c>
      <c r="E7" s="18"/>
      <c r="F7" s="36" t="s">
        <v>29</v>
      </c>
      <c r="G7" s="38">
        <v>89</v>
      </c>
      <c r="H7" s="48" t="s">
        <v>27</v>
      </c>
      <c r="I7" s="11"/>
      <c r="J7" s="36" t="s">
        <v>30</v>
      </c>
      <c r="K7" s="39">
        <f>E32</f>
        <v>1096308.0790686104</v>
      </c>
      <c r="L7" s="8"/>
      <c r="O7" s="13"/>
      <c r="P7" s="11"/>
      <c r="Q7" s="11"/>
      <c r="R7" s="11"/>
    </row>
    <row r="8" spans="2:18" ht="15">
      <c r="B8" s="7"/>
      <c r="C8" s="36" t="s">
        <v>12</v>
      </c>
      <c r="D8" s="37">
        <f>'Geodetic to Cartesian'!L9</f>
        <v>4618283.820993953</v>
      </c>
      <c r="E8" s="18"/>
      <c r="F8" s="36" t="s">
        <v>31</v>
      </c>
      <c r="G8" s="38">
        <v>468</v>
      </c>
      <c r="H8" s="48" t="s">
        <v>27</v>
      </c>
      <c r="I8" s="11"/>
      <c r="J8" s="36" t="s">
        <v>32</v>
      </c>
      <c r="K8" s="39">
        <f>E33</f>
        <v>4618755.207840192</v>
      </c>
      <c r="L8" s="8"/>
      <c r="O8" s="13"/>
      <c r="P8" s="11"/>
      <c r="Q8" s="11"/>
      <c r="R8" s="11"/>
    </row>
    <row r="9" spans="2:18" ht="15">
      <c r="B9" s="7"/>
      <c r="C9" s="11"/>
      <c r="D9" s="11"/>
      <c r="E9" s="18"/>
      <c r="F9" s="36" t="s">
        <v>33</v>
      </c>
      <c r="G9" s="38">
        <v>-5.1</v>
      </c>
      <c r="H9" s="48" t="s">
        <v>34</v>
      </c>
      <c r="I9" s="11"/>
      <c r="J9" s="11"/>
      <c r="K9" s="12"/>
      <c r="L9" s="8"/>
      <c r="O9" s="13"/>
      <c r="P9" s="11"/>
      <c r="Q9" s="11"/>
      <c r="R9" s="11"/>
    </row>
    <row r="10" spans="2:18" ht="15">
      <c r="B10" s="7"/>
      <c r="C10" s="11"/>
      <c r="D10" s="11"/>
      <c r="E10" s="18"/>
      <c r="F10" s="36" t="s">
        <v>35</v>
      </c>
      <c r="G10" s="38">
        <v>-1.4</v>
      </c>
      <c r="H10" s="48" t="s">
        <v>34</v>
      </c>
      <c r="I10" s="40"/>
      <c r="J10" s="12"/>
      <c r="K10" s="12"/>
      <c r="L10" s="8"/>
      <c r="O10" s="13"/>
      <c r="P10" s="11"/>
      <c r="Q10" s="11"/>
      <c r="R10" s="11"/>
    </row>
    <row r="11" spans="2:18" ht="15">
      <c r="B11" s="7"/>
      <c r="C11" s="11"/>
      <c r="D11" s="11"/>
      <c r="E11" s="18"/>
      <c r="F11" s="36" t="s">
        <v>36</v>
      </c>
      <c r="G11" s="38">
        <v>-5.4</v>
      </c>
      <c r="H11" s="48" t="s">
        <v>34</v>
      </c>
      <c r="I11" s="40"/>
      <c r="J11" s="12"/>
      <c r="K11" s="12"/>
      <c r="L11" s="8"/>
      <c r="O11" s="13"/>
      <c r="P11" s="11"/>
      <c r="Q11" s="11"/>
      <c r="R11" s="11"/>
    </row>
    <row r="12" spans="2:18" ht="12.75">
      <c r="B12" s="7"/>
      <c r="C12" s="11"/>
      <c r="D12" s="11"/>
      <c r="E12" s="18"/>
      <c r="F12" s="36" t="s">
        <v>37</v>
      </c>
      <c r="G12" s="38">
        <v>1.1</v>
      </c>
      <c r="H12" s="48" t="s">
        <v>38</v>
      </c>
      <c r="I12" s="40"/>
      <c r="J12" s="12"/>
      <c r="K12" s="12"/>
      <c r="L12" s="8"/>
      <c r="O12" s="13"/>
      <c r="P12" s="11"/>
      <c r="Q12" s="11"/>
      <c r="R12" s="11"/>
    </row>
    <row r="13" spans="2:18" ht="13.5" thickBot="1">
      <c r="B13" s="41"/>
      <c r="C13" s="42"/>
      <c r="D13" s="42"/>
      <c r="E13" s="43"/>
      <c r="F13" s="44"/>
      <c r="G13" s="44"/>
      <c r="H13" s="45"/>
      <c r="I13" s="46"/>
      <c r="J13" s="44"/>
      <c r="K13" s="44"/>
      <c r="L13" s="47"/>
      <c r="O13" s="13"/>
      <c r="P13" s="11"/>
      <c r="Q13" s="11"/>
      <c r="R13" s="11"/>
    </row>
    <row r="14" spans="5:18" ht="12.75" hidden="1" outlineLevel="1">
      <c r="E14" s="5"/>
      <c r="F14" s="1" t="s">
        <v>39</v>
      </c>
      <c r="G14" s="16">
        <f>((G9/3600)/180)*PI()</f>
        <v>-2.4725497736586333E-05</v>
      </c>
      <c r="H14" s="1" t="s">
        <v>40</v>
      </c>
      <c r="I14" s="4"/>
      <c r="J14" s="2"/>
      <c r="K14" s="12"/>
      <c r="O14" s="13"/>
      <c r="P14" s="11"/>
      <c r="Q14" s="11"/>
      <c r="R14" s="11"/>
    </row>
    <row r="15" spans="5:18" ht="12.75" hidden="1" outlineLevel="1">
      <c r="E15" s="5"/>
      <c r="F15" s="1" t="s">
        <v>41</v>
      </c>
      <c r="G15" s="16">
        <f>((G10/3600)/180)*PI()</f>
        <v>-6.787391535533504E-06</v>
      </c>
      <c r="H15" s="1" t="s">
        <v>40</v>
      </c>
      <c r="I15" s="4"/>
      <c r="J15" s="2"/>
      <c r="K15" s="12"/>
      <c r="O15" s="13"/>
      <c r="P15" s="11"/>
      <c r="Q15" s="11"/>
      <c r="R15" s="11"/>
    </row>
    <row r="16" spans="5:18" ht="12.75" hidden="1" outlineLevel="1">
      <c r="E16" s="5"/>
      <c r="F16" s="1" t="s">
        <v>42</v>
      </c>
      <c r="G16" s="16">
        <f>((G11/3600)/180)*PI()</f>
        <v>-2.6179938779914945E-05</v>
      </c>
      <c r="H16" s="1" t="s">
        <v>40</v>
      </c>
      <c r="I16" s="4"/>
      <c r="J16" s="2"/>
      <c r="K16" s="12"/>
      <c r="O16" s="13"/>
      <c r="P16" s="11"/>
      <c r="Q16" s="11"/>
      <c r="R16" s="11"/>
    </row>
    <row r="17" spans="5:18" ht="12.75" hidden="1" outlineLevel="1">
      <c r="E17" s="5"/>
      <c r="F17" s="1" t="s">
        <v>43</v>
      </c>
      <c r="G17" s="16">
        <f>1+(G12/1000000)</f>
        <v>1.0000011</v>
      </c>
      <c r="H17" s="1"/>
      <c r="I17" s="4"/>
      <c r="J17" s="2"/>
      <c r="K17" s="12"/>
      <c r="O17" s="13"/>
      <c r="P17" s="11"/>
      <c r="Q17" s="11"/>
      <c r="R17" s="11"/>
    </row>
    <row r="18" spans="5:18" ht="12.75" hidden="1" outlineLevel="1">
      <c r="E18" s="5"/>
      <c r="F18" s="12"/>
      <c r="G18" s="12"/>
      <c r="H18" s="1"/>
      <c r="I18" s="4"/>
      <c r="J18" s="2"/>
      <c r="K18" s="12"/>
      <c r="O18" s="13"/>
      <c r="P18" s="11"/>
      <c r="Q18" s="11"/>
      <c r="R18" s="11"/>
    </row>
    <row r="19" spans="3:13" ht="12.75" hidden="1" outlineLevel="1">
      <c r="C19" s="3" t="s">
        <v>28</v>
      </c>
      <c r="E19" s="10">
        <f>G6</f>
        <v>586</v>
      </c>
      <c r="F19" s="2" t="s">
        <v>44</v>
      </c>
      <c r="G19" s="15">
        <f>G17</f>
        <v>1.0000011</v>
      </c>
      <c r="H19" s="9"/>
      <c r="I19" s="21">
        <f>COS(G15)*COS(G16)</f>
        <v>0.999999999634271</v>
      </c>
      <c r="J19" s="17">
        <f>COS(G15)*SIN(G16)</f>
        <v>-2.6179938776321333E-05</v>
      </c>
      <c r="K19" s="22">
        <f>-SIN(G15)</f>
        <v>6.787391535481389E-06</v>
      </c>
      <c r="M19" s="6">
        <f>D6</f>
        <v>4243058.118552219</v>
      </c>
    </row>
    <row r="20" spans="3:13" ht="12.75" hidden="1" outlineLevel="1">
      <c r="C20" s="3" t="s">
        <v>30</v>
      </c>
      <c r="D20" s="2" t="s">
        <v>45</v>
      </c>
      <c r="E20" s="10">
        <f>G7</f>
        <v>89</v>
      </c>
      <c r="I20" s="23">
        <f>SIN(G14)*SIN(G15)*COS(G16)-COS(G14)*SIN(G16)</f>
        <v>2.6180106590555786E-05</v>
      </c>
      <c r="J20" s="24">
        <f>SIN(G14)*SIN(G15)*SIN(G16)+COS(G14)*COS(G16)</f>
        <v>0.9999999993516258</v>
      </c>
      <c r="K20" s="22">
        <f>SIN(G14)*COS(G15)</f>
        <v>-2.4725497733497475E-05</v>
      </c>
      <c r="M20" s="6">
        <f>D7</f>
        <v>1096220.9795920462</v>
      </c>
    </row>
    <row r="21" spans="3:13" ht="12.75" hidden="1" outlineLevel="1">
      <c r="C21" s="3" t="s">
        <v>32</v>
      </c>
      <c r="D21" s="2"/>
      <c r="E21" s="10">
        <f>G8</f>
        <v>468</v>
      </c>
      <c r="I21" s="23">
        <f>COS(G14)*SIN(G15)*COS(G16)+SIN(G14)*SIN(G16)</f>
        <v>-6.786744219063743E-06</v>
      </c>
      <c r="J21" s="17">
        <f>COS(G14)*SIN(G15)*SIN(G16)-SIN(G14)*COS(G16)</f>
        <v>2.4725675419088512E-05</v>
      </c>
      <c r="K21" s="25">
        <f>COS(G14)*COS(G15)</f>
        <v>0.9999999996712905</v>
      </c>
      <c r="M21" s="6">
        <f>D8</f>
        <v>4618283.820993953</v>
      </c>
    </row>
    <row r="22" ht="12.75" hidden="1" outlineLevel="1"/>
    <row r="23" spans="3:9" ht="12.75" hidden="1" outlineLevel="1">
      <c r="C23" s="3" t="s">
        <v>28</v>
      </c>
      <c r="E23" s="10">
        <f>G6</f>
        <v>586</v>
      </c>
      <c r="G23" s="17">
        <f>G17</f>
        <v>1.0000011</v>
      </c>
      <c r="I23" s="6">
        <f>(I19*M19+J19*M20+K19*M21)</f>
        <v>4243060.764102793</v>
      </c>
    </row>
    <row r="24" spans="3:13" ht="12.75" hidden="1" outlineLevel="1">
      <c r="C24" s="3" t="s">
        <v>30</v>
      </c>
      <c r="D24" s="2" t="s">
        <v>45</v>
      </c>
      <c r="E24" s="10">
        <f>G7</f>
        <v>89</v>
      </c>
      <c r="F24" s="2" t="s">
        <v>44</v>
      </c>
      <c r="I24" s="6">
        <f>(I20*M19+J20*M20+K20*M21)</f>
        <v>1096217.87322895</v>
      </c>
      <c r="M24" s="18"/>
    </row>
    <row r="25" spans="3:13" ht="12.75" hidden="1" outlineLevel="1">
      <c r="C25" s="3" t="s">
        <v>32</v>
      </c>
      <c r="D25" s="2"/>
      <c r="E25" s="10">
        <f>G8</f>
        <v>468</v>
      </c>
      <c r="F25" s="11"/>
      <c r="G25" s="11"/>
      <c r="H25" s="11"/>
      <c r="I25" s="6">
        <f>(I21*M19+J21*M20+K21*M21)</f>
        <v>4618282.127729852</v>
      </c>
      <c r="M25" s="18"/>
    </row>
    <row r="26" spans="3:13" ht="12.75" hidden="1" outlineLevel="1">
      <c r="C26" s="12"/>
      <c r="D26" s="2"/>
      <c r="E26" s="19"/>
      <c r="F26" s="11"/>
      <c r="G26" s="11"/>
      <c r="H26" s="11"/>
      <c r="I26" s="18"/>
      <c r="M26" s="18"/>
    </row>
    <row r="27" spans="3:13" ht="12.75" hidden="1" outlineLevel="1">
      <c r="C27" s="3" t="s">
        <v>28</v>
      </c>
      <c r="E27" s="10">
        <f>G6</f>
        <v>586</v>
      </c>
      <c r="F27" s="11"/>
      <c r="G27" s="20">
        <f>G23*I23</f>
        <v>4243065.431469634</v>
      </c>
      <c r="H27" s="11"/>
      <c r="I27" s="18"/>
      <c r="M27" s="18"/>
    </row>
    <row r="28" spans="3:13" ht="12.75" hidden="1" outlineLevel="1">
      <c r="C28" s="3" t="s">
        <v>30</v>
      </c>
      <c r="D28" s="2" t="s">
        <v>45</v>
      </c>
      <c r="E28" s="10">
        <f>G7</f>
        <v>89</v>
      </c>
      <c r="F28" s="12" t="s">
        <v>44</v>
      </c>
      <c r="G28" s="20">
        <f>G23*I24</f>
        <v>1096219.0790686104</v>
      </c>
      <c r="H28" s="11"/>
      <c r="I28" s="18"/>
      <c r="M28" s="18"/>
    </row>
    <row r="29" spans="3:13" ht="12.75" hidden="1" outlineLevel="1">
      <c r="C29" s="3" t="s">
        <v>32</v>
      </c>
      <c r="D29" s="2"/>
      <c r="E29" s="10">
        <f>G8</f>
        <v>468</v>
      </c>
      <c r="F29" s="11"/>
      <c r="G29" s="20">
        <f>G23*I25</f>
        <v>4618287.207840192</v>
      </c>
      <c r="H29" s="11"/>
      <c r="I29" s="18"/>
      <c r="M29" s="18"/>
    </row>
    <row r="30" spans="3:13" ht="12.75" hidden="1" outlineLevel="1">
      <c r="C30" s="12"/>
      <c r="D30" s="2"/>
      <c r="E30" s="19"/>
      <c r="F30" s="11"/>
      <c r="G30" s="11"/>
      <c r="H30" s="11"/>
      <c r="I30" s="18"/>
      <c r="M30" s="18"/>
    </row>
    <row r="31" spans="3:13" ht="12.75" hidden="1" outlineLevel="1">
      <c r="C31" s="3" t="s">
        <v>28</v>
      </c>
      <c r="D31" s="2"/>
      <c r="E31" s="10">
        <f>E27+G27</f>
        <v>4243651.431469634</v>
      </c>
      <c r="F31" s="11"/>
      <c r="G31" s="11"/>
      <c r="H31" s="11"/>
      <c r="I31" s="18"/>
      <c r="M31" s="18"/>
    </row>
    <row r="32" spans="3:13" ht="12.75" hidden="1" outlineLevel="1">
      <c r="C32" s="3" t="s">
        <v>30</v>
      </c>
      <c r="D32" s="2" t="s">
        <v>45</v>
      </c>
      <c r="E32" s="10">
        <f>E28+G28</f>
        <v>1096308.0790686104</v>
      </c>
      <c r="F32" s="11"/>
      <c r="G32" s="11"/>
      <c r="H32" s="11"/>
      <c r="I32" s="18"/>
      <c r="M32" s="18"/>
    </row>
    <row r="33" spans="3:13" ht="12.75" hidden="1" outlineLevel="1">
      <c r="C33" s="3" t="s">
        <v>32</v>
      </c>
      <c r="D33" s="2"/>
      <c r="E33" s="10">
        <f>E29+G29</f>
        <v>4618755.207840192</v>
      </c>
      <c r="F33" s="11"/>
      <c r="G33" s="11"/>
      <c r="H33" s="11"/>
      <c r="I33" s="18"/>
      <c r="M33" s="18"/>
    </row>
    <row r="34" spans="3:13" ht="12.75" customHeight="1" collapsed="1">
      <c r="C34" s="12"/>
      <c r="D34" s="2"/>
      <c r="E34" s="19"/>
      <c r="F34" s="11"/>
      <c r="G34" s="11"/>
      <c r="H34" s="11"/>
      <c r="I34" s="18"/>
      <c r="M34" s="18"/>
    </row>
    <row r="35" spans="3:12" ht="12.75">
      <c r="C35" s="26"/>
      <c r="D35" s="27"/>
      <c r="E35" s="11"/>
      <c r="F35" s="11"/>
      <c r="G35" s="11"/>
      <c r="H35" s="11"/>
      <c r="I35" s="11"/>
      <c r="J35" s="11"/>
      <c r="K35" s="33" t="s">
        <v>19</v>
      </c>
      <c r="L35" s="11"/>
    </row>
    <row r="36" spans="4:12" ht="12.75">
      <c r="D36" s="11"/>
      <c r="E36" s="12"/>
      <c r="F36" s="12"/>
      <c r="G36" s="12"/>
      <c r="H36" s="12"/>
      <c r="I36" s="14"/>
      <c r="J36" s="14"/>
      <c r="K36" s="49" t="s">
        <v>20</v>
      </c>
      <c r="L36" s="12"/>
    </row>
    <row r="37" spans="4:12" ht="12.75">
      <c r="D37" s="12"/>
      <c r="E37" s="12"/>
      <c r="F37" s="11"/>
      <c r="G37" s="11"/>
      <c r="H37" s="14"/>
      <c r="I37" s="12"/>
      <c r="J37" s="14"/>
      <c r="L37" s="12"/>
    </row>
    <row r="38" spans="3:12" ht="12.75">
      <c r="C38" s="12"/>
      <c r="D38" s="11"/>
      <c r="E38" s="12"/>
      <c r="F38" s="11"/>
      <c r="G38" s="11"/>
      <c r="H38" s="14"/>
      <c r="I38" s="14"/>
      <c r="J38" s="12"/>
      <c r="L38" s="12"/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paperSize="9" r:id="rId2"/>
  <headerFooter alignWithMargins="0">
    <oddHeader>&amp;CSimilarity Transformation</oddHeader>
    <oddFooter>&amp;Chttp://www.anzlic.org.au/icsm/gdatm.htm&amp;R&amp;D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9"/>
  <sheetViews>
    <sheetView showGridLines="0" showOutlineSymbols="0" zoomScale="80" zoomScaleNormal="80" workbookViewId="0" topLeftCell="A1">
      <selection activeCell="I6" sqref="I6"/>
    </sheetView>
  </sheetViews>
  <sheetFormatPr defaultColWidth="9.140625" defaultRowHeight="12.75" outlineLevelRow="1"/>
  <cols>
    <col min="1" max="1" width="2.8515625" style="0" customWidth="1"/>
    <col min="2" max="2" width="2.7109375" style="0" customWidth="1"/>
    <col min="3" max="3" width="20.140625" style="0" customWidth="1"/>
    <col min="4" max="4" width="14.28125" style="0" customWidth="1"/>
    <col min="6" max="6" width="14.140625" style="0" customWidth="1"/>
    <col min="8" max="8" width="5.00390625" style="0" customWidth="1"/>
    <col min="9" max="9" width="10.28125" style="0" customWidth="1"/>
    <col min="11" max="11" width="2.7109375" style="0" customWidth="1"/>
  </cols>
  <sheetData>
    <row r="1" spans="2:11" ht="13.5" thickBot="1"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2:11" ht="12.75">
      <c r="B2" s="7"/>
      <c r="C2" s="11"/>
      <c r="D2" s="11"/>
      <c r="E2" s="11"/>
      <c r="F2" s="11"/>
      <c r="G2" s="11"/>
      <c r="H2" s="11"/>
      <c r="I2" s="11"/>
      <c r="J2" s="11"/>
      <c r="K2" s="8"/>
    </row>
    <row r="3" spans="2:11" ht="15">
      <c r="B3" s="7"/>
      <c r="C3" s="50" t="s">
        <v>46</v>
      </c>
      <c r="D3" s="11"/>
      <c r="E3" s="11"/>
      <c r="F3" s="11"/>
      <c r="G3" s="11"/>
      <c r="H3" s="11"/>
      <c r="I3" s="11"/>
      <c r="J3" s="11"/>
      <c r="K3" s="8"/>
    </row>
    <row r="4" spans="2:11" ht="12.75" customHeight="1">
      <c r="B4" s="7"/>
      <c r="C4" s="11"/>
      <c r="D4" s="11"/>
      <c r="E4" s="11"/>
      <c r="F4" s="11"/>
      <c r="G4" s="11"/>
      <c r="H4" s="11"/>
      <c r="I4" s="11"/>
      <c r="J4" s="11"/>
      <c r="K4" s="8"/>
    </row>
    <row r="5" spans="2:11" ht="12.75">
      <c r="B5" s="7"/>
      <c r="C5" s="11"/>
      <c r="D5" s="11"/>
      <c r="E5" s="11"/>
      <c r="F5" s="11"/>
      <c r="G5" s="1" t="s">
        <v>1</v>
      </c>
      <c r="H5" s="1" t="s">
        <v>2</v>
      </c>
      <c r="I5" s="2" t="s">
        <v>47</v>
      </c>
      <c r="J5" s="11"/>
      <c r="K5" s="8"/>
    </row>
    <row r="6" spans="2:11" ht="12.75">
      <c r="B6" s="7"/>
      <c r="C6" s="12" t="s">
        <v>8</v>
      </c>
      <c r="D6" s="66">
        <f>'7 parameter transformation'!K6</f>
        <v>4243651.431469634</v>
      </c>
      <c r="E6" s="11"/>
      <c r="F6" s="11" t="s">
        <v>7</v>
      </c>
      <c r="G6" s="62">
        <f>TRUNC(F23)</f>
        <v>46</v>
      </c>
      <c r="H6" s="61">
        <f>TRUNC((F23-G6)*60)</f>
        <v>41</v>
      </c>
      <c r="I6" s="60">
        <f>(F23-G6-(H6/60))*3600</f>
        <v>33.01011395734798</v>
      </c>
      <c r="J6" s="56"/>
      <c r="K6" s="8"/>
    </row>
    <row r="7" spans="2:11" ht="12.75">
      <c r="B7" s="7"/>
      <c r="C7" s="12" t="s">
        <v>10</v>
      </c>
      <c r="D7" s="66">
        <f>'7 parameter transformation'!K7</f>
        <v>1096308.0790686104</v>
      </c>
      <c r="E7" s="11"/>
      <c r="F7" s="11" t="s">
        <v>9</v>
      </c>
      <c r="G7" s="62">
        <f>TRUNC(F22)</f>
        <v>14</v>
      </c>
      <c r="H7" s="61">
        <f>TRUNC((F22-G7)*60)</f>
        <v>29</v>
      </c>
      <c r="I7" s="60">
        <f>(F22-G7-(H7/60))*3600</f>
        <v>6.4742466181981095</v>
      </c>
      <c r="J7" s="56"/>
      <c r="K7" s="8"/>
    </row>
    <row r="8" spans="2:11" ht="12.75">
      <c r="B8" s="7"/>
      <c r="C8" s="12" t="s">
        <v>12</v>
      </c>
      <c r="D8" s="66">
        <f>'7 parameter transformation'!K8</f>
        <v>4618755.207840192</v>
      </c>
      <c r="E8" s="11"/>
      <c r="F8" s="11" t="s">
        <v>11</v>
      </c>
      <c r="I8" s="67">
        <f>D24</f>
        <v>509.40850837994367</v>
      </c>
      <c r="J8" s="56"/>
      <c r="K8" s="8"/>
    </row>
    <row r="9" spans="2:11" ht="12.75">
      <c r="B9" s="7"/>
      <c r="C9" s="11"/>
      <c r="D9" s="11"/>
      <c r="E9" s="11"/>
      <c r="F9" s="11"/>
      <c r="G9" s="11"/>
      <c r="H9" s="11"/>
      <c r="I9" s="11"/>
      <c r="J9" s="11"/>
      <c r="K9" s="8"/>
    </row>
    <row r="10" spans="2:11" ht="12.75">
      <c r="B10" s="7"/>
      <c r="C10" s="32" t="s">
        <v>13</v>
      </c>
      <c r="D10" s="11"/>
      <c r="E10" s="11"/>
      <c r="F10" s="11"/>
      <c r="G10" s="11"/>
      <c r="I10" s="11"/>
      <c r="J10" s="39"/>
      <c r="K10" s="8"/>
    </row>
    <row r="11" spans="2:11" ht="12.75">
      <c r="B11" s="7"/>
      <c r="C11" s="51" t="s">
        <v>25</v>
      </c>
      <c r="D11" s="11"/>
      <c r="E11" s="11"/>
      <c r="F11" s="11"/>
      <c r="G11" s="11"/>
      <c r="I11" s="11"/>
      <c r="J11" s="39"/>
      <c r="K11" s="8"/>
    </row>
    <row r="12" spans="2:11" ht="12.75">
      <c r="B12" s="7"/>
      <c r="C12" s="11" t="s">
        <v>14</v>
      </c>
      <c r="D12" s="63">
        <v>6378137</v>
      </c>
      <c r="E12" s="11"/>
      <c r="F12" s="11"/>
      <c r="G12" s="11"/>
      <c r="I12" s="11"/>
      <c r="J12" s="39"/>
      <c r="K12" s="8"/>
    </row>
    <row r="13" spans="2:11" ht="12.75">
      <c r="B13" s="7"/>
      <c r="C13" s="11" t="s">
        <v>15</v>
      </c>
      <c r="D13" s="58">
        <v>298.257223563</v>
      </c>
      <c r="E13" s="11"/>
      <c r="F13" s="11"/>
      <c r="G13" s="11"/>
      <c r="H13" s="11"/>
      <c r="I13" s="11"/>
      <c r="J13" s="11"/>
      <c r="K13" s="8"/>
    </row>
    <row r="14" spans="2:11" ht="12.75" hidden="1" outlineLevel="1">
      <c r="B14" s="7"/>
      <c r="C14" s="11" t="s">
        <v>16</v>
      </c>
      <c r="D14" s="11">
        <f>1/D13</f>
        <v>0.0033528106647474805</v>
      </c>
      <c r="E14" s="11"/>
      <c r="F14" s="11"/>
      <c r="G14" s="11"/>
      <c r="H14" s="11"/>
      <c r="I14" s="11"/>
      <c r="J14" s="11"/>
      <c r="K14" s="8"/>
    </row>
    <row r="15" spans="2:11" ht="15" hidden="1" outlineLevel="1">
      <c r="B15" s="7"/>
      <c r="C15" s="11" t="s">
        <v>17</v>
      </c>
      <c r="D15" s="11">
        <f>2*D14-D14*D14</f>
        <v>0.0066943799901413165</v>
      </c>
      <c r="E15" s="11"/>
      <c r="F15" s="11"/>
      <c r="G15" s="11"/>
      <c r="H15" s="11"/>
      <c r="I15" s="11"/>
      <c r="J15" s="11"/>
      <c r="K15" s="8"/>
    </row>
    <row r="16" spans="2:11" ht="12.75" hidden="1" outlineLevel="1">
      <c r="B16" s="7"/>
      <c r="C16" s="52" t="s">
        <v>18</v>
      </c>
      <c r="D16" s="11">
        <f>D12/SQRT(1-D15*SIN(D23)*SIN(D23))</f>
        <v>6389471.834518577</v>
      </c>
      <c r="E16" s="11"/>
      <c r="F16" s="11"/>
      <c r="G16" s="11"/>
      <c r="H16" s="11"/>
      <c r="I16" s="11"/>
      <c r="J16" s="11"/>
      <c r="K16" s="8"/>
    </row>
    <row r="17" spans="2:11" ht="13.5" collapsed="1" thickBot="1">
      <c r="B17" s="41"/>
      <c r="C17" s="42"/>
      <c r="D17" s="42"/>
      <c r="E17" s="42"/>
      <c r="F17" s="42"/>
      <c r="G17" s="42"/>
      <c r="H17" s="42"/>
      <c r="I17" s="42"/>
      <c r="J17" s="42"/>
      <c r="K17" s="47"/>
    </row>
    <row r="19" spans="3:4" ht="12.75" hidden="1" outlineLevel="1">
      <c r="C19" t="s">
        <v>48</v>
      </c>
      <c r="D19">
        <f>SQRT(D6*D6+D7*D7)</f>
        <v>4382974.888822132</v>
      </c>
    </row>
    <row r="20" spans="3:4" ht="12.75" hidden="1" outlineLevel="1">
      <c r="C20" t="s">
        <v>49</v>
      </c>
      <c r="D20">
        <f>SQRT(D19*D19+D8*D8)</f>
        <v>6367367.4737678105</v>
      </c>
    </row>
    <row r="21" spans="3:6" ht="12.75" hidden="1" outlineLevel="1">
      <c r="C21" s="59" t="s">
        <v>50</v>
      </c>
      <c r="D21">
        <f>ATAN((D8/D19)*((1-D14)+(D15*D12)/D20))</f>
        <v>0.8132561513810413</v>
      </c>
      <c r="F21" s="2" t="s">
        <v>5</v>
      </c>
    </row>
    <row r="22" spans="3:6" ht="12.75" hidden="1" outlineLevel="1">
      <c r="C22" t="s">
        <v>51</v>
      </c>
      <c r="D22">
        <f>ATAN(D7/D6)</f>
        <v>0.25281324136386585</v>
      </c>
      <c r="E22">
        <f>IF(D22&lt;0,PI()+D22,D22)</f>
        <v>0.25281324136386585</v>
      </c>
      <c r="F22">
        <f>(E22/PI())*180</f>
        <v>14.485131735171722</v>
      </c>
    </row>
    <row r="23" spans="3:6" ht="12.75" hidden="1" outlineLevel="1">
      <c r="C23" t="s">
        <v>52</v>
      </c>
      <c r="D23">
        <f>ATAN(D26/D27)</f>
        <v>0.8149379100213012</v>
      </c>
      <c r="F23">
        <f>(D23/PI())*180</f>
        <v>46.6925028094326</v>
      </c>
    </row>
    <row r="24" spans="3:4" ht="12.75" hidden="1" outlineLevel="1">
      <c r="C24" t="s">
        <v>53</v>
      </c>
      <c r="D24">
        <f>D19*COS(D23)+D8*SIN(D23)-D12*SQRT(1-D15*SIN(D23)*SIN(D23))</f>
        <v>509.40850837994367</v>
      </c>
    </row>
    <row r="25" ht="12.75" hidden="1" outlineLevel="1"/>
    <row r="26" spans="3:4" ht="12.75" hidden="1" outlineLevel="1">
      <c r="C26" t="s">
        <v>54</v>
      </c>
      <c r="D26">
        <f>D8*(1-D14)+D15*D12*SIN(D21)*SIN(D21)*SIN(D21)</f>
        <v>4619643.670592355</v>
      </c>
    </row>
    <row r="27" spans="3:4" ht="12.75" hidden="1" outlineLevel="1">
      <c r="C27" t="s">
        <v>55</v>
      </c>
      <c r="D27">
        <f>(1-D14)*(D19-D15*D12*COS(D21)*COS(D21)*COS(D21))</f>
        <v>4354473.392977576</v>
      </c>
    </row>
    <row r="28" ht="12.75" collapsed="1">
      <c r="J28" s="33" t="s">
        <v>19</v>
      </c>
    </row>
    <row r="29" ht="12.75">
      <c r="J29" s="49" t="s">
        <v>20</v>
      </c>
    </row>
  </sheetData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&amp;CCartesian (XYZ) to geodetic (lat, long, ellip. ht.)</oddHeader>
    <oddFooter>&amp;Chttp://www.anzlic.org.au/icsm/gdatm.htm&amp;R&amp;D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20"/>
  <sheetViews>
    <sheetView zoomScale="90" zoomScaleNormal="90" workbookViewId="0" topLeftCell="A1">
      <selection activeCell="D11" sqref="D11"/>
    </sheetView>
  </sheetViews>
  <sheetFormatPr defaultColWidth="9.140625" defaultRowHeight="12.75"/>
  <cols>
    <col min="1" max="1" width="1.1484375" style="0" customWidth="1"/>
    <col min="2" max="2" width="16.7109375" style="0" customWidth="1"/>
    <col min="3" max="3" width="13.421875" style="0" customWidth="1"/>
    <col min="4" max="4" width="10.00390625" style="0" customWidth="1"/>
    <col min="5" max="5" width="14.00390625" style="0" customWidth="1"/>
    <col min="6" max="6" width="6.7109375" style="0" customWidth="1"/>
    <col min="7" max="7" width="14.7109375" style="0" customWidth="1"/>
    <col min="8" max="8" width="1.57421875" style="0" customWidth="1"/>
    <col min="9" max="9" width="20.57421875" style="0" customWidth="1"/>
    <col min="10" max="10" width="16.28125" style="0" customWidth="1"/>
  </cols>
  <sheetData>
    <row r="2" ht="13.5" thickBot="1"/>
    <row r="3" spans="2:10" ht="12.75">
      <c r="B3" s="75" t="s">
        <v>56</v>
      </c>
      <c r="C3" s="68" t="s">
        <v>1</v>
      </c>
      <c r="D3" s="68" t="s">
        <v>2</v>
      </c>
      <c r="E3" s="68" t="s">
        <v>3</v>
      </c>
      <c r="F3" s="29"/>
      <c r="G3" s="29"/>
      <c r="H3" s="29"/>
      <c r="I3" s="68" t="s">
        <v>13</v>
      </c>
      <c r="J3" s="30"/>
    </row>
    <row r="4" spans="2:10" ht="12.75">
      <c r="B4" s="69" t="s">
        <v>7</v>
      </c>
      <c r="C4" s="53">
        <v>-37</v>
      </c>
      <c r="D4" s="54">
        <v>39</v>
      </c>
      <c r="E4" s="77">
        <v>15.5647</v>
      </c>
      <c r="F4" s="70" t="s">
        <v>8</v>
      </c>
      <c r="G4" s="57">
        <v>-4086966.079673348</v>
      </c>
      <c r="H4" s="11"/>
      <c r="I4" s="32" t="s">
        <v>57</v>
      </c>
      <c r="J4" s="8"/>
    </row>
    <row r="5" spans="2:10" ht="12.75">
      <c r="B5" s="69" t="s">
        <v>9</v>
      </c>
      <c r="C5" s="53">
        <v>143</v>
      </c>
      <c r="D5" s="54">
        <v>55</v>
      </c>
      <c r="E5" s="77">
        <v>30.5501</v>
      </c>
      <c r="F5" s="70" t="s">
        <v>10</v>
      </c>
      <c r="G5" s="57">
        <v>2977519.5749434335</v>
      </c>
      <c r="H5" s="11"/>
      <c r="I5" s="32" t="s">
        <v>14</v>
      </c>
      <c r="J5" s="79">
        <v>6378160</v>
      </c>
    </row>
    <row r="6" spans="2:10" ht="12.75">
      <c r="B6" s="69" t="s">
        <v>11</v>
      </c>
      <c r="C6" s="11"/>
      <c r="D6" s="11"/>
      <c r="E6" s="57">
        <v>749.671</v>
      </c>
      <c r="F6" s="70" t="s">
        <v>12</v>
      </c>
      <c r="G6" s="57">
        <v>-3875610.1344959736</v>
      </c>
      <c r="H6" s="11"/>
      <c r="I6" s="32" t="s">
        <v>15</v>
      </c>
      <c r="J6" s="79">
        <v>298.25</v>
      </c>
    </row>
    <row r="7" spans="2:10" ht="12.75">
      <c r="B7" s="7"/>
      <c r="C7" s="11"/>
      <c r="D7" s="11"/>
      <c r="E7" s="11"/>
      <c r="F7" s="11"/>
      <c r="G7" s="11"/>
      <c r="H7" s="11"/>
      <c r="I7" s="11"/>
      <c r="J7" s="8"/>
    </row>
    <row r="8" spans="2:10" ht="12.75">
      <c r="B8" s="7"/>
      <c r="C8" s="11"/>
      <c r="D8" s="11"/>
      <c r="E8" s="11"/>
      <c r="F8" s="11"/>
      <c r="G8" s="11"/>
      <c r="H8" s="11"/>
      <c r="I8" s="11"/>
      <c r="J8" s="8"/>
    </row>
    <row r="9" spans="2:10" ht="15">
      <c r="B9" s="7"/>
      <c r="C9" s="83" t="s">
        <v>58</v>
      </c>
      <c r="D9" s="37">
        <v>-117.763</v>
      </c>
      <c r="E9" s="71" t="s">
        <v>27</v>
      </c>
      <c r="F9" s="11"/>
      <c r="G9" s="11"/>
      <c r="H9" s="11"/>
      <c r="I9" s="11"/>
      <c r="J9" s="8"/>
    </row>
    <row r="10" spans="2:10" ht="15">
      <c r="B10" s="7"/>
      <c r="C10" s="83" t="s">
        <v>59</v>
      </c>
      <c r="D10" s="37">
        <v>-51.51</v>
      </c>
      <c r="E10" s="71" t="s">
        <v>27</v>
      </c>
      <c r="F10" s="11"/>
      <c r="G10" s="11"/>
      <c r="H10" s="11"/>
      <c r="I10" s="11"/>
      <c r="J10" s="8"/>
    </row>
    <row r="11" spans="2:10" ht="15">
      <c r="B11" s="7"/>
      <c r="C11" s="83" t="s">
        <v>60</v>
      </c>
      <c r="D11" s="37">
        <v>139.061</v>
      </c>
      <c r="E11" s="71" t="s">
        <v>27</v>
      </c>
      <c r="F11" s="11"/>
      <c r="G11" s="11"/>
      <c r="H11" s="11"/>
      <c r="I11" s="11"/>
      <c r="J11" s="8"/>
    </row>
    <row r="12" spans="2:10" ht="15">
      <c r="B12" s="7"/>
      <c r="C12" s="83" t="s">
        <v>61</v>
      </c>
      <c r="D12" s="37">
        <v>-0.292</v>
      </c>
      <c r="E12" s="71" t="s">
        <v>34</v>
      </c>
      <c r="F12" s="11"/>
      <c r="G12" s="11"/>
      <c r="H12" s="11"/>
      <c r="I12" s="11"/>
      <c r="J12" s="8"/>
    </row>
    <row r="13" spans="2:10" ht="15">
      <c r="B13" s="7"/>
      <c r="C13" s="83" t="s">
        <v>62</v>
      </c>
      <c r="D13" s="37">
        <v>-0.443</v>
      </c>
      <c r="E13" s="71" t="s">
        <v>34</v>
      </c>
      <c r="F13" s="11"/>
      <c r="G13" s="11"/>
      <c r="H13" s="11"/>
      <c r="I13" s="11"/>
      <c r="J13" s="8"/>
    </row>
    <row r="14" spans="2:10" ht="15">
      <c r="B14" s="7"/>
      <c r="C14" s="83" t="s">
        <v>63</v>
      </c>
      <c r="D14" s="37">
        <v>-0.277</v>
      </c>
      <c r="E14" s="71" t="s">
        <v>34</v>
      </c>
      <c r="F14" s="11"/>
      <c r="G14" s="11"/>
      <c r="H14" s="11"/>
      <c r="I14" s="11"/>
      <c r="J14" s="8"/>
    </row>
    <row r="15" spans="2:10" ht="12.75">
      <c r="B15" s="7"/>
      <c r="C15" s="83" t="s">
        <v>37</v>
      </c>
      <c r="D15" s="37">
        <v>-0.191</v>
      </c>
      <c r="E15" s="71" t="s">
        <v>38</v>
      </c>
      <c r="F15" s="11"/>
      <c r="G15" s="11"/>
      <c r="H15" s="11"/>
      <c r="I15" s="11"/>
      <c r="J15" s="8"/>
    </row>
    <row r="16" spans="2:10" ht="12.75">
      <c r="B16" s="7"/>
      <c r="C16" s="11"/>
      <c r="D16" s="11"/>
      <c r="E16" s="11"/>
      <c r="F16" s="11"/>
      <c r="G16" s="11"/>
      <c r="H16" s="11"/>
      <c r="I16" s="11"/>
      <c r="J16" s="8"/>
    </row>
    <row r="17" spans="2:10" ht="12.75">
      <c r="B17" s="76" t="s">
        <v>64</v>
      </c>
      <c r="C17" s="32" t="s">
        <v>1</v>
      </c>
      <c r="D17" s="32" t="s">
        <v>2</v>
      </c>
      <c r="E17" s="32" t="s">
        <v>47</v>
      </c>
      <c r="F17" s="11"/>
      <c r="G17" s="11"/>
      <c r="H17" s="11"/>
      <c r="I17" s="32" t="s">
        <v>13</v>
      </c>
      <c r="J17" s="8"/>
    </row>
    <row r="18" spans="2:10" ht="12.75">
      <c r="B18" s="69" t="s">
        <v>7</v>
      </c>
      <c r="C18" s="78">
        <v>-37</v>
      </c>
      <c r="D18" s="78">
        <v>-39</v>
      </c>
      <c r="E18" s="77">
        <v>-10.159808677321314</v>
      </c>
      <c r="F18" s="70" t="s">
        <v>8</v>
      </c>
      <c r="G18" s="57">
        <v>-4087095.384402581</v>
      </c>
      <c r="H18" s="11"/>
      <c r="I18" s="32" t="s">
        <v>65</v>
      </c>
      <c r="J18" s="8"/>
    </row>
    <row r="19" spans="2:10" ht="12.75">
      <c r="B19" s="69" t="s">
        <v>9</v>
      </c>
      <c r="C19" s="78">
        <v>143</v>
      </c>
      <c r="D19" s="78">
        <v>55</v>
      </c>
      <c r="E19" s="77">
        <v>35.37297082293676</v>
      </c>
      <c r="F19" s="70" t="s">
        <v>10</v>
      </c>
      <c r="G19" s="57">
        <v>2977467.4942243597</v>
      </c>
      <c r="H19" s="11"/>
      <c r="I19" s="32" t="s">
        <v>14</v>
      </c>
      <c r="J19" s="79">
        <v>6378137</v>
      </c>
    </row>
    <row r="20" spans="2:10" ht="13.5" thickBot="1">
      <c r="B20" s="72" t="s">
        <v>11</v>
      </c>
      <c r="C20" s="73"/>
      <c r="D20" s="73"/>
      <c r="E20" s="81">
        <v>737.5737283732742</v>
      </c>
      <c r="F20" s="73" t="s">
        <v>12</v>
      </c>
      <c r="G20" s="82">
        <v>-3875457.3404223607</v>
      </c>
      <c r="H20" s="42"/>
      <c r="I20" s="74" t="s">
        <v>15</v>
      </c>
      <c r="J20" s="80">
        <v>298.257222101</v>
      </c>
    </row>
  </sheetData>
  <sheetProtection sheet="1" objects="1" scenarios="1"/>
  <printOptions/>
  <pageMargins left="0.75" right="0.75" top="1" bottom="1" header="0.5" footer="0.5"/>
  <pageSetup fitToHeight="1" fitToWidth="1" orientation="landscape" paperSize="9" r:id="rId1"/>
  <headerFooter alignWithMargins="0">
    <oddHeader>&amp;CTest Data</oddHeader>
    <oddFooter>&amp;Chttp://www.anzlic.org.au/icsm/gdatm.htm&amp;R&amp;D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AUSLIG - GEODESY</dc:creator>
  <cp:keywords/>
  <dc:description/>
  <cp:lastModifiedBy>mkuhar</cp:lastModifiedBy>
  <cp:lastPrinted>2000-06-29T13:17:31Z</cp:lastPrinted>
  <dcterms:created xsi:type="dcterms:W3CDTF">1997-02-11T07:10:33Z</dcterms:created>
  <dcterms:modified xsi:type="dcterms:W3CDTF">2003-06-05T09:55:01Z</dcterms:modified>
  <cp:category/>
  <cp:version/>
  <cp:contentType/>
  <cp:contentStatus/>
</cp:coreProperties>
</file>