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832" windowHeight="6648" tabRatio="777" activeTab="0"/>
  </bookViews>
  <sheets>
    <sheet name="Ellipsoids" sheetId="1" r:id="rId1"/>
    <sheet name="Direct Solution" sheetId="2" r:id="rId2"/>
    <sheet name="Inverse Solution" sheetId="3" r:id="rId3"/>
    <sheet name="Test Data" sheetId="4" r:id="rId4"/>
  </sheets>
  <definedNames>
    <definedName name="ellipsoidList">#REF!</definedName>
    <definedName name="_xlnm.Print_Area" localSheetId="1">'Direct Solution'!$A$1:$I$58</definedName>
    <definedName name="_xlnm.Print_Area" localSheetId="2">'Inverse Solution'!$A$1:$I$61</definedName>
    <definedName name="solver_adj" localSheetId="2" hidden="1">'Inverse Solution'!$G$3:$I$4,'Inverse Solution'!$C$3:$E$4</definedName>
    <definedName name="solver_cvg" localSheetId="2" hidden="1">0.0000001</definedName>
    <definedName name="solver_drv" localSheetId="2" hidden="1">1</definedName>
    <definedName name="solver_est" localSheetId="2" hidden="1">1</definedName>
    <definedName name="solver_itr" localSheetId="2" hidden="1">300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'Inverse Solution'!$C$52</definedName>
    <definedName name="solver_pre" localSheetId="2" hidden="1">0.000000001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2</definedName>
    <definedName name="solver_val" localSheetId="2" hidden="1">0</definedName>
  </definedNames>
  <calcPr fullCalcOnLoad="1" iterate="1" iterateCount="100" iterateDelta="1E-10"/>
</workbook>
</file>

<file path=xl/comments1.xml><?xml version="1.0" encoding="utf-8"?>
<comments xmlns="http://schemas.openxmlformats.org/spreadsheetml/2006/main">
  <authors>
    <author>A satisfied Microsoft Office user</author>
  </authors>
  <commentList>
    <comment ref="A14" authorId="0">
      <text>
        <r>
          <rPr>
            <sz val="8"/>
            <rFont val="Tahoma"/>
            <family val="0"/>
          </rPr>
          <t>GRS80 is the ellipsoid used with GDA94 and with the ITRF.</t>
        </r>
      </text>
    </comment>
    <comment ref="B14" authorId="0">
      <text>
        <r>
          <rPr>
            <sz val="8"/>
            <rFont val="Tahoma"/>
            <family val="0"/>
          </rPr>
          <t>WGS84 is the ellipsoid used with the GPS sysyem. It is for all practical purposes, the same as GRS80.</t>
        </r>
      </text>
    </comment>
    <comment ref="C14" authorId="0">
      <text>
        <r>
          <rPr>
            <sz val="8"/>
            <rFont val="Tahoma"/>
            <family val="0"/>
          </rPr>
          <t>Parameters of the Bessel ellipsoid</t>
        </r>
      </text>
    </comment>
    <comment ref="D14" authorId="0">
      <text>
        <r>
          <rPr>
            <sz val="8"/>
            <rFont val="Tahoma"/>
            <family val="0"/>
          </rPr>
          <t>WGS72 is the ellipsoid used with GPS prior to 27 January 1987, and with the Transit Doppler Broadcast ephemeris, prior to 27 January 1989.</t>
        </r>
      </text>
    </comment>
    <comment ref="E14" authorId="0">
      <text>
        <r>
          <rPr>
            <sz val="8"/>
            <rFont val="Tahoma"/>
            <family val="0"/>
          </rPr>
          <t>The Clarke 1858 ellipsoid was widely used in Australia prior to the introduction of the AGD in 1966.</t>
        </r>
      </text>
    </comment>
    <comment ref="F14" authorId="0">
      <text>
        <r>
          <rPr>
            <sz val="8"/>
            <rFont val="Tahoma"/>
            <family val="0"/>
          </rPr>
          <t>To use a sphere, enter the required radius in the semi-major axis field, and leave the inverse flattening as a very large number.</t>
        </r>
      </text>
    </comment>
    <comment ref="G14" authorId="0">
      <text>
        <r>
          <rPr>
            <sz val="8"/>
            <rFont val="Tahoma"/>
            <family val="0"/>
          </rPr>
          <t>Enter the value of the semi-major axis (a) and the inverse flattening (1/f) to define your own ellipsoid. The values of f and b will be calculated automatically.</t>
        </r>
      </text>
    </comment>
  </commentList>
</comments>
</file>

<file path=xl/sharedStrings.xml><?xml version="1.0" encoding="utf-8"?>
<sst xmlns="http://schemas.openxmlformats.org/spreadsheetml/2006/main" count="175" uniqueCount="139">
  <si>
    <t>GRS80</t>
  </si>
  <si>
    <t>WGS84</t>
  </si>
  <si>
    <t>WGS72</t>
  </si>
  <si>
    <t>Clarke 1858</t>
  </si>
  <si>
    <t>Sphere</t>
  </si>
  <si>
    <t>User</t>
  </si>
  <si>
    <t>1/f</t>
  </si>
  <si>
    <t>f</t>
  </si>
  <si>
    <t>a</t>
  </si>
  <si>
    <t>Ellipsoid</t>
  </si>
  <si>
    <t>Station 1</t>
  </si>
  <si>
    <t>Flinders Peak</t>
  </si>
  <si>
    <t>Station 2</t>
  </si>
  <si>
    <t>Buninyong</t>
  </si>
  <si>
    <r>
      <t xml:space="preserve">Latitude </t>
    </r>
    <r>
      <rPr>
        <sz val="10"/>
        <color indexed="8"/>
        <rFont val="Arial"/>
        <family val="2"/>
      </rPr>
      <t>(</t>
    </r>
    <r>
      <rPr>
        <sz val="10"/>
        <color indexed="8"/>
        <rFont val="Symbol"/>
        <family val="1"/>
      </rPr>
      <t>j</t>
    </r>
    <r>
      <rPr>
        <vertAlign val="subscript"/>
        <sz val="10"/>
        <color indexed="8"/>
        <rFont val="Arial"/>
        <family val="2"/>
      </rPr>
      <t>1</t>
    </r>
    <r>
      <rPr>
        <sz val="10"/>
        <color indexed="8"/>
        <rFont val="Arial"/>
        <family val="2"/>
      </rPr>
      <t>)</t>
    </r>
  </si>
  <si>
    <r>
      <t>Azimuth</t>
    </r>
    <r>
      <rPr>
        <sz val="10"/>
        <rFont val="Arial"/>
        <family val="0"/>
      </rPr>
      <t xml:space="preserve"> (</t>
    </r>
    <r>
      <rPr>
        <sz val="10"/>
        <rFont val="Symbol"/>
        <family val="1"/>
      </rPr>
      <t>a</t>
    </r>
    <r>
      <rPr>
        <vertAlign val="subscript"/>
        <sz val="10"/>
        <rFont val="Arial"/>
        <family val="2"/>
      </rPr>
      <t>12</t>
    </r>
    <r>
      <rPr>
        <sz val="10"/>
        <rFont val="Arial"/>
        <family val="0"/>
      </rPr>
      <t>)</t>
    </r>
  </si>
  <si>
    <r>
      <t>Longitude</t>
    </r>
    <r>
      <rPr>
        <sz val="10"/>
        <color indexed="8"/>
        <rFont val="Arial"/>
        <family val="2"/>
      </rPr>
      <t xml:space="preserve"> (</t>
    </r>
    <r>
      <rPr>
        <sz val="10"/>
        <color indexed="8"/>
        <rFont val="Symbol"/>
        <family val="1"/>
      </rPr>
      <t>l</t>
    </r>
    <r>
      <rPr>
        <vertAlign val="subscript"/>
        <sz val="10"/>
        <color indexed="8"/>
        <rFont val="Arial"/>
        <family val="2"/>
      </rPr>
      <t>1</t>
    </r>
    <r>
      <rPr>
        <sz val="10"/>
        <color indexed="8"/>
        <rFont val="Arial"/>
        <family val="2"/>
      </rPr>
      <t>)</t>
    </r>
  </si>
  <si>
    <r>
      <t xml:space="preserve">Ellipsoidal Dist </t>
    </r>
    <r>
      <rPr>
        <sz val="10"/>
        <rFont val="Arial"/>
        <family val="2"/>
      </rPr>
      <t>(s)</t>
    </r>
  </si>
  <si>
    <r>
      <t>Latitude (</t>
    </r>
    <r>
      <rPr>
        <sz val="10"/>
        <color indexed="8"/>
        <rFont val="Symbol"/>
        <family val="1"/>
      </rPr>
      <t>j</t>
    </r>
    <r>
      <rPr>
        <vertAlign val="subscript"/>
        <sz val="10"/>
        <color indexed="8"/>
        <rFont val="Arial"/>
        <family val="2"/>
      </rPr>
      <t>2</t>
    </r>
    <r>
      <rPr>
        <sz val="10"/>
        <color indexed="8"/>
        <rFont val="Arial"/>
        <family val="2"/>
      </rPr>
      <t>)</t>
    </r>
  </si>
  <si>
    <r>
      <t>Reverse Azimuth  (</t>
    </r>
    <r>
      <rPr>
        <sz val="10"/>
        <color indexed="16"/>
        <rFont val="Symbol"/>
        <family val="1"/>
      </rPr>
      <t>a</t>
    </r>
    <r>
      <rPr>
        <vertAlign val="subscript"/>
        <sz val="10"/>
        <color indexed="16"/>
        <rFont val="Arial"/>
        <family val="2"/>
      </rPr>
      <t>21</t>
    </r>
    <r>
      <rPr>
        <sz val="10"/>
        <color indexed="16"/>
        <rFont val="Arial"/>
        <family val="2"/>
      </rPr>
      <t>)</t>
    </r>
  </si>
  <si>
    <r>
      <t>Longitude (</t>
    </r>
    <r>
      <rPr>
        <sz val="10"/>
        <color indexed="8"/>
        <rFont val="Symbol"/>
        <family val="1"/>
      </rPr>
      <t>l</t>
    </r>
    <r>
      <rPr>
        <vertAlign val="subscript"/>
        <sz val="10"/>
        <color indexed="8"/>
        <rFont val="Arial"/>
        <family val="2"/>
      </rPr>
      <t>2</t>
    </r>
    <r>
      <rPr>
        <sz val="10"/>
        <color indexed="8"/>
        <rFont val="Arial"/>
        <family val="2"/>
      </rPr>
      <t>)</t>
    </r>
  </si>
  <si>
    <t>COLOUR KEY</t>
  </si>
  <si>
    <t>User input</t>
  </si>
  <si>
    <t>Result</t>
  </si>
  <si>
    <t>Dec Deg</t>
  </si>
  <si>
    <t>Radians</t>
  </si>
  <si>
    <t>b</t>
  </si>
  <si>
    <r>
      <t>j</t>
    </r>
    <r>
      <rPr>
        <vertAlign val="subscript"/>
        <sz val="10"/>
        <color indexed="8"/>
        <rFont val="Arial"/>
        <family val="2"/>
      </rPr>
      <t>1</t>
    </r>
  </si>
  <si>
    <r>
      <t>l</t>
    </r>
    <r>
      <rPr>
        <vertAlign val="subscript"/>
        <sz val="10"/>
        <rFont val="Arial"/>
        <family val="2"/>
      </rPr>
      <t>1</t>
    </r>
  </si>
  <si>
    <r>
      <t>e'</t>
    </r>
    <r>
      <rPr>
        <vertAlign val="superscript"/>
        <sz val="10"/>
        <rFont val="Arial"/>
        <family val="2"/>
      </rPr>
      <t>2</t>
    </r>
  </si>
  <si>
    <r>
      <t>a</t>
    </r>
    <r>
      <rPr>
        <vertAlign val="subscript"/>
        <sz val="10"/>
        <color indexed="16"/>
        <rFont val="Arial"/>
        <family val="2"/>
      </rPr>
      <t>12</t>
    </r>
  </si>
  <si>
    <r>
      <t>u</t>
    </r>
    <r>
      <rPr>
        <vertAlign val="superscript"/>
        <sz val="9"/>
        <rFont val="Arial"/>
        <family val="2"/>
      </rPr>
      <t>2</t>
    </r>
  </si>
  <si>
    <t>formula1</t>
  </si>
  <si>
    <t>TanU1</t>
  </si>
  <si>
    <r>
      <t xml:space="preserve">tan </t>
    </r>
    <r>
      <rPr>
        <sz val="11"/>
        <rFont val="Symbol"/>
        <family val="1"/>
      </rPr>
      <t>s</t>
    </r>
    <r>
      <rPr>
        <vertAlign val="subscript"/>
        <sz val="11"/>
        <rFont val="Arial"/>
        <family val="2"/>
      </rPr>
      <t>1</t>
    </r>
  </si>
  <si>
    <t>formula2</t>
  </si>
  <si>
    <t>sinU1</t>
  </si>
  <si>
    <t>cosU1</t>
  </si>
  <si>
    <r>
      <t xml:space="preserve">sin </t>
    </r>
    <r>
      <rPr>
        <sz val="10"/>
        <rFont val="Symbol"/>
        <family val="1"/>
      </rPr>
      <t>a</t>
    </r>
  </si>
  <si>
    <t>formula3</t>
  </si>
  <si>
    <t>A</t>
  </si>
  <si>
    <t>formula4</t>
  </si>
  <si>
    <t>B</t>
  </si>
  <si>
    <t>formula5</t>
  </si>
  <si>
    <r>
      <t>2</t>
    </r>
    <r>
      <rPr>
        <sz val="10"/>
        <rFont val="Symbol"/>
        <family val="1"/>
      </rPr>
      <t>s</t>
    </r>
    <r>
      <rPr>
        <vertAlign val="subscript"/>
        <sz val="11"/>
        <rFont val="Arial"/>
        <family val="2"/>
      </rPr>
      <t>m</t>
    </r>
  </si>
  <si>
    <r>
      <t>2</t>
    </r>
    <r>
      <rPr>
        <sz val="10"/>
        <rFont val="Symbol"/>
        <family val="1"/>
      </rPr>
      <t>s</t>
    </r>
    <r>
      <rPr>
        <vertAlign val="subscript"/>
        <sz val="11"/>
        <rFont val="Arial"/>
        <family val="2"/>
      </rPr>
      <t>1</t>
    </r>
  </si>
  <si>
    <t>formula6</t>
  </si>
  <si>
    <r>
      <t xml:space="preserve">Bsin </t>
    </r>
    <r>
      <rPr>
        <sz val="10"/>
        <rFont val="Symbol"/>
        <family val="1"/>
      </rPr>
      <t>s</t>
    </r>
  </si>
  <si>
    <r>
      <t>cos 2</t>
    </r>
    <r>
      <rPr>
        <sz val="10"/>
        <rFont val="Symbol"/>
        <family val="1"/>
      </rPr>
      <t>s</t>
    </r>
    <r>
      <rPr>
        <vertAlign val="subscript"/>
        <sz val="11"/>
        <rFont val="Arial"/>
        <family val="2"/>
      </rPr>
      <t>m</t>
    </r>
  </si>
  <si>
    <r>
      <t xml:space="preserve">cos </t>
    </r>
    <r>
      <rPr>
        <sz val="10"/>
        <rFont val="Symbol"/>
        <family val="1"/>
      </rPr>
      <t>s</t>
    </r>
    <r>
      <rPr>
        <sz val="10"/>
        <rFont val="Arial"/>
        <family val="0"/>
      </rPr>
      <t xml:space="preserve"> etc</t>
    </r>
  </si>
  <si>
    <t>bracket1</t>
  </si>
  <si>
    <t>bracket2</t>
  </si>
  <si>
    <t>D s</t>
  </si>
  <si>
    <t>formula7</t>
  </si>
  <si>
    <t>s</t>
  </si>
  <si>
    <t>s/bA</t>
  </si>
  <si>
    <t>formula8</t>
  </si>
  <si>
    <t>top term</t>
  </si>
  <si>
    <t>bott term</t>
  </si>
  <si>
    <r>
      <t xml:space="preserve">tan </t>
    </r>
    <r>
      <rPr>
        <sz val="10"/>
        <rFont val="Symbol"/>
        <family val="1"/>
      </rPr>
      <t>f</t>
    </r>
    <r>
      <rPr>
        <vertAlign val="subscript"/>
        <sz val="11"/>
        <rFont val="Arial"/>
        <family val="2"/>
      </rPr>
      <t>2</t>
    </r>
  </si>
  <si>
    <r>
      <t xml:space="preserve">atan2 </t>
    </r>
    <r>
      <rPr>
        <sz val="10"/>
        <rFont val="Symbol"/>
        <family val="1"/>
      </rPr>
      <t>f</t>
    </r>
    <r>
      <rPr>
        <vertAlign val="subscript"/>
        <sz val="11"/>
        <rFont val="Arial"/>
        <family val="2"/>
      </rPr>
      <t>2</t>
    </r>
  </si>
  <si>
    <r>
      <t>f</t>
    </r>
    <r>
      <rPr>
        <vertAlign val="subscript"/>
        <sz val="11"/>
        <rFont val="Arial"/>
        <family val="2"/>
      </rPr>
      <t>2</t>
    </r>
    <r>
      <rPr>
        <sz val="10"/>
        <rFont val="Arial"/>
        <family val="0"/>
      </rPr>
      <t>(rad)</t>
    </r>
  </si>
  <si>
    <r>
      <t>f</t>
    </r>
    <r>
      <rPr>
        <vertAlign val="subscript"/>
        <sz val="11"/>
        <rFont val="Arial"/>
        <family val="2"/>
      </rPr>
      <t>2</t>
    </r>
    <r>
      <rPr>
        <sz val="10"/>
        <rFont val="Arial"/>
        <family val="0"/>
      </rPr>
      <t>(deg)</t>
    </r>
  </si>
  <si>
    <t>formula9</t>
  </si>
  <si>
    <r>
      <t xml:space="preserve">tan </t>
    </r>
    <r>
      <rPr>
        <sz val="10"/>
        <rFont val="Symbol"/>
        <family val="1"/>
      </rPr>
      <t>l</t>
    </r>
  </si>
  <si>
    <r>
      <t>l</t>
    </r>
    <r>
      <rPr>
        <sz val="10"/>
        <rFont val="Arial"/>
        <family val="0"/>
      </rPr>
      <t xml:space="preserve"> (tan2)</t>
    </r>
  </si>
  <si>
    <t>formula10</t>
  </si>
  <si>
    <t>C</t>
  </si>
  <si>
    <t>formula11</t>
  </si>
  <si>
    <t>L</t>
  </si>
  <si>
    <r>
      <t>l</t>
    </r>
    <r>
      <rPr>
        <vertAlign val="subscript"/>
        <sz val="10"/>
        <rFont val="Arial"/>
        <family val="2"/>
      </rPr>
      <t>2</t>
    </r>
    <r>
      <rPr>
        <sz val="10"/>
        <rFont val="Arial"/>
        <family val="0"/>
      </rPr>
      <t>(rad)</t>
    </r>
  </si>
  <si>
    <r>
      <t>l</t>
    </r>
    <r>
      <rPr>
        <vertAlign val="subscript"/>
        <sz val="10"/>
        <rFont val="Arial"/>
        <family val="2"/>
      </rPr>
      <t>2</t>
    </r>
    <r>
      <rPr>
        <sz val="10"/>
        <rFont val="Arial"/>
        <family val="0"/>
      </rPr>
      <t>(deg)</t>
    </r>
  </si>
  <si>
    <t>formula12</t>
  </si>
  <si>
    <r>
      <t xml:space="preserve">tan </t>
    </r>
    <r>
      <rPr>
        <sz val="10"/>
        <rFont val="Symbol"/>
        <family val="1"/>
      </rPr>
      <t>a</t>
    </r>
    <r>
      <rPr>
        <vertAlign val="subscript"/>
        <sz val="11"/>
        <rFont val="Arial"/>
        <family val="2"/>
      </rPr>
      <t>2</t>
    </r>
  </si>
  <si>
    <r>
      <t>a</t>
    </r>
    <r>
      <rPr>
        <vertAlign val="subscript"/>
        <sz val="11"/>
        <rFont val="Arial"/>
        <family val="2"/>
      </rPr>
      <t>2</t>
    </r>
    <r>
      <rPr>
        <sz val="10"/>
        <rFont val="Arial"/>
        <family val="0"/>
      </rPr>
      <t xml:space="preserve"> (rad)</t>
    </r>
  </si>
  <si>
    <r>
      <t>a</t>
    </r>
    <r>
      <rPr>
        <vertAlign val="subscript"/>
        <sz val="11"/>
        <rFont val="Arial"/>
        <family val="2"/>
      </rPr>
      <t>2</t>
    </r>
    <r>
      <rPr>
        <sz val="10"/>
        <rFont val="Arial"/>
        <family val="0"/>
      </rPr>
      <t xml:space="preserve"> (deg)</t>
    </r>
  </si>
  <si>
    <r>
      <t>Latitude</t>
    </r>
    <r>
      <rPr>
        <sz val="10"/>
        <rFont val="Arial"/>
        <family val="0"/>
      </rPr>
      <t xml:space="preserve"> (</t>
    </r>
    <r>
      <rPr>
        <sz val="10"/>
        <rFont val="Symbol"/>
        <family val="1"/>
      </rPr>
      <t>j</t>
    </r>
    <r>
      <rPr>
        <vertAlign val="subscript"/>
        <sz val="10"/>
        <rFont val="Arial"/>
        <family val="2"/>
      </rPr>
      <t>1</t>
    </r>
    <r>
      <rPr>
        <sz val="10"/>
        <rFont val="Arial"/>
        <family val="0"/>
      </rPr>
      <t>)</t>
    </r>
  </si>
  <si>
    <r>
      <t>Latitude</t>
    </r>
    <r>
      <rPr>
        <sz val="10"/>
        <rFont val="Arial"/>
        <family val="0"/>
      </rPr>
      <t xml:space="preserve"> (</t>
    </r>
    <r>
      <rPr>
        <sz val="10"/>
        <rFont val="Symbol"/>
        <family val="1"/>
      </rPr>
      <t>j</t>
    </r>
    <r>
      <rPr>
        <vertAlign val="subscript"/>
        <sz val="10"/>
        <rFont val="Arial"/>
        <family val="2"/>
      </rPr>
      <t>2</t>
    </r>
    <r>
      <rPr>
        <sz val="10"/>
        <rFont val="Arial"/>
        <family val="0"/>
      </rPr>
      <t>)</t>
    </r>
  </si>
  <si>
    <r>
      <t>Longitude</t>
    </r>
    <r>
      <rPr>
        <sz val="10"/>
        <rFont val="Arial"/>
        <family val="0"/>
      </rPr>
      <t xml:space="preserve"> (</t>
    </r>
    <r>
      <rPr>
        <sz val="10"/>
        <rFont val="Symbol"/>
        <family val="1"/>
      </rPr>
      <t>l</t>
    </r>
    <r>
      <rPr>
        <vertAlign val="subscript"/>
        <sz val="10"/>
        <rFont val="Arial"/>
        <family val="2"/>
      </rPr>
      <t>1</t>
    </r>
    <r>
      <rPr>
        <sz val="10"/>
        <rFont val="Arial"/>
        <family val="0"/>
      </rPr>
      <t>)</t>
    </r>
  </si>
  <si>
    <r>
      <t>Longitude</t>
    </r>
    <r>
      <rPr>
        <sz val="10"/>
        <rFont val="Arial"/>
        <family val="0"/>
      </rPr>
      <t xml:space="preserve"> (</t>
    </r>
    <r>
      <rPr>
        <sz val="10"/>
        <rFont val="Symbol"/>
        <family val="1"/>
      </rPr>
      <t>l</t>
    </r>
    <r>
      <rPr>
        <vertAlign val="subscript"/>
        <sz val="10"/>
        <rFont val="Arial"/>
        <family val="2"/>
      </rPr>
      <t>2</t>
    </r>
    <r>
      <rPr>
        <sz val="10"/>
        <rFont val="Arial"/>
        <family val="0"/>
      </rPr>
      <t>)</t>
    </r>
  </si>
  <si>
    <t>Spheroidal Dist. (S)</t>
  </si>
  <si>
    <t xml:space="preserve"> </t>
  </si>
  <si>
    <r>
      <t>Azimuth 1-2 (</t>
    </r>
    <r>
      <rPr>
        <sz val="10"/>
        <color indexed="16"/>
        <rFont val="Symbol"/>
        <family val="1"/>
      </rPr>
      <t>a</t>
    </r>
    <r>
      <rPr>
        <vertAlign val="subscript"/>
        <sz val="10"/>
        <color indexed="16"/>
        <rFont val="Arial"/>
        <family val="2"/>
      </rPr>
      <t>12</t>
    </r>
    <r>
      <rPr>
        <sz val="10"/>
        <color indexed="16"/>
        <rFont val="Arial"/>
        <family val="2"/>
      </rPr>
      <t>)</t>
    </r>
  </si>
  <si>
    <r>
      <t>Azimuth 2-1(</t>
    </r>
    <r>
      <rPr>
        <sz val="10"/>
        <color indexed="16"/>
        <rFont val="Symbol"/>
        <family val="1"/>
      </rPr>
      <t>a</t>
    </r>
    <r>
      <rPr>
        <vertAlign val="subscript"/>
        <sz val="10"/>
        <color indexed="16"/>
        <rFont val="Arial"/>
        <family val="2"/>
      </rPr>
      <t>21</t>
    </r>
    <r>
      <rPr>
        <sz val="10"/>
        <color indexed="16"/>
        <rFont val="Arial"/>
        <family val="2"/>
      </rPr>
      <t>)</t>
    </r>
  </si>
  <si>
    <t>Dec Degrees</t>
  </si>
  <si>
    <r>
      <t>Latitude (</t>
    </r>
    <r>
      <rPr>
        <sz val="10"/>
        <rFont val="Symbol"/>
        <family val="1"/>
      </rPr>
      <t>j</t>
    </r>
    <r>
      <rPr>
        <vertAlign val="subscript"/>
        <sz val="10"/>
        <rFont val="Arial"/>
        <family val="2"/>
      </rPr>
      <t>1</t>
    </r>
    <r>
      <rPr>
        <sz val="10"/>
        <rFont val="Arial"/>
        <family val="0"/>
      </rPr>
      <t>)</t>
    </r>
  </si>
  <si>
    <r>
      <t>Longitude (</t>
    </r>
    <r>
      <rPr>
        <sz val="10"/>
        <rFont val="Symbol"/>
        <family val="1"/>
      </rPr>
      <t>l</t>
    </r>
    <r>
      <rPr>
        <vertAlign val="subscript"/>
        <sz val="10"/>
        <rFont val="Arial"/>
        <family val="2"/>
      </rPr>
      <t>1</t>
    </r>
    <r>
      <rPr>
        <sz val="10"/>
        <rFont val="Arial"/>
        <family val="0"/>
      </rPr>
      <t>)</t>
    </r>
  </si>
  <si>
    <r>
      <t>Latitude (</t>
    </r>
    <r>
      <rPr>
        <sz val="10"/>
        <rFont val="Symbol"/>
        <family val="1"/>
      </rPr>
      <t>j</t>
    </r>
    <r>
      <rPr>
        <vertAlign val="subscript"/>
        <sz val="10"/>
        <rFont val="Arial"/>
        <family val="2"/>
      </rPr>
      <t>2</t>
    </r>
    <r>
      <rPr>
        <sz val="10"/>
        <rFont val="Arial"/>
        <family val="0"/>
      </rPr>
      <t>)</t>
    </r>
  </si>
  <si>
    <r>
      <t>Longitude (</t>
    </r>
    <r>
      <rPr>
        <sz val="10"/>
        <rFont val="Symbol"/>
        <family val="1"/>
      </rPr>
      <t>l</t>
    </r>
    <r>
      <rPr>
        <vertAlign val="subscript"/>
        <sz val="10"/>
        <rFont val="Arial"/>
        <family val="2"/>
      </rPr>
      <t>2</t>
    </r>
    <r>
      <rPr>
        <sz val="10"/>
        <rFont val="Arial"/>
        <family val="0"/>
      </rPr>
      <t>)</t>
    </r>
  </si>
  <si>
    <t>Semi major axis (a)</t>
  </si>
  <si>
    <t>f+f*f</t>
  </si>
  <si>
    <t>Semi minor axis (b)</t>
  </si>
  <si>
    <t>(f+f*f)/2</t>
  </si>
  <si>
    <t>Flattening (f)</t>
  </si>
  <si>
    <t>(f*f)/2</t>
  </si>
  <si>
    <r>
      <t>Diff longitude (</t>
    </r>
    <r>
      <rPr>
        <sz val="10"/>
        <rFont val="Symbol"/>
        <family val="1"/>
      </rPr>
      <t>w</t>
    </r>
    <r>
      <rPr>
        <sz val="10"/>
        <rFont val="Arial"/>
        <family val="0"/>
      </rPr>
      <t>)</t>
    </r>
  </si>
  <si>
    <t>(f*f)/8</t>
  </si>
  <si>
    <t>(f*f)/16</t>
  </si>
  <si>
    <t>tanU1</t>
  </si>
  <si>
    <t>U1</t>
  </si>
  <si>
    <t>tanU2</t>
  </si>
  <si>
    <t>U2</t>
  </si>
  <si>
    <t>sinU2</t>
  </si>
  <si>
    <t>cosU2</t>
  </si>
  <si>
    <t>formula13</t>
  </si>
  <si>
    <t>l</t>
  </si>
  <si>
    <t>formula14</t>
  </si>
  <si>
    <r>
      <t>sin</t>
    </r>
    <r>
      <rPr>
        <vertAlign val="superscript"/>
        <sz val="10"/>
        <rFont val="Arial"/>
        <family val="2"/>
      </rPr>
      <t>2</t>
    </r>
    <r>
      <rPr>
        <sz val="10"/>
        <rFont val="Symbol"/>
        <family val="1"/>
      </rPr>
      <t xml:space="preserve"> s</t>
    </r>
  </si>
  <si>
    <t>formula15</t>
  </si>
  <si>
    <r>
      <t xml:space="preserve">cos </t>
    </r>
    <r>
      <rPr>
        <sz val="10"/>
        <rFont val="Symbol"/>
        <family val="1"/>
      </rPr>
      <t>s</t>
    </r>
  </si>
  <si>
    <t>formula16</t>
  </si>
  <si>
    <r>
      <t xml:space="preserve">tan </t>
    </r>
    <r>
      <rPr>
        <sz val="10"/>
        <rFont val="Symbol"/>
        <family val="1"/>
      </rPr>
      <t>s</t>
    </r>
  </si>
  <si>
    <t>formula17</t>
  </si>
  <si>
    <t>formula18</t>
  </si>
  <si>
    <r>
      <t xml:space="preserve">cos 2 </t>
    </r>
    <r>
      <rPr>
        <sz val="10"/>
        <rFont val="Symbol"/>
        <family val="1"/>
      </rPr>
      <t>s</t>
    </r>
    <r>
      <rPr>
        <sz val="10"/>
        <rFont val="Arial"/>
        <family val="0"/>
      </rPr>
      <t xml:space="preserve"> </t>
    </r>
    <r>
      <rPr>
        <vertAlign val="subscript"/>
        <sz val="11"/>
        <rFont val="Arial"/>
        <family val="2"/>
      </rPr>
      <t>m</t>
    </r>
  </si>
  <si>
    <r>
      <t>u</t>
    </r>
    <r>
      <rPr>
        <vertAlign val="superscript"/>
        <sz val="11"/>
        <rFont val="Arial"/>
        <family val="2"/>
      </rPr>
      <t>2</t>
    </r>
  </si>
  <si>
    <t>formula11modified</t>
  </si>
  <si>
    <t>formula19</t>
  </si>
  <si>
    <t>formula20</t>
  </si>
  <si>
    <r>
      <t xml:space="preserve">tan </t>
    </r>
    <r>
      <rPr>
        <sz val="10"/>
        <rFont val="Symbol"/>
        <family val="1"/>
      </rPr>
      <t>a</t>
    </r>
    <r>
      <rPr>
        <vertAlign val="subscript"/>
        <sz val="11"/>
        <rFont val="Arial"/>
        <family val="2"/>
      </rPr>
      <t>1</t>
    </r>
  </si>
  <si>
    <t>formula21</t>
  </si>
  <si>
    <r>
      <t xml:space="preserve">tan </t>
    </r>
    <r>
      <rPr>
        <sz val="10"/>
        <rFont val="Symbol"/>
        <family val="1"/>
      </rPr>
      <t>a</t>
    </r>
    <r>
      <rPr>
        <vertAlign val="subscript"/>
        <sz val="11"/>
        <rFont val="Symbol"/>
        <family val="1"/>
      </rPr>
      <t>2</t>
    </r>
  </si>
  <si>
    <t>Forward azimuth</t>
  </si>
  <si>
    <t>Reverse Azimuth</t>
  </si>
  <si>
    <r>
      <t>a</t>
    </r>
    <r>
      <rPr>
        <vertAlign val="subscript"/>
        <sz val="10"/>
        <rFont val="Arial"/>
        <family val="2"/>
      </rPr>
      <t xml:space="preserve">12 </t>
    </r>
    <r>
      <rPr>
        <sz val="10"/>
        <rFont val="Arial"/>
        <family val="2"/>
      </rPr>
      <t>(radians)</t>
    </r>
  </si>
  <si>
    <r>
      <t>a</t>
    </r>
    <r>
      <rPr>
        <vertAlign val="subscript"/>
        <sz val="10"/>
        <rFont val="Arial"/>
        <family val="2"/>
      </rPr>
      <t xml:space="preserve">21 </t>
    </r>
    <r>
      <rPr>
        <sz val="10"/>
        <rFont val="Arial"/>
        <family val="2"/>
      </rPr>
      <t>(radians)</t>
    </r>
  </si>
  <si>
    <r>
      <t>a</t>
    </r>
    <r>
      <rPr>
        <vertAlign val="subscript"/>
        <sz val="10"/>
        <rFont val="Arial"/>
        <family val="2"/>
      </rPr>
      <t xml:space="preserve">12 </t>
    </r>
    <r>
      <rPr>
        <sz val="10"/>
        <rFont val="Arial"/>
        <family val="2"/>
      </rPr>
      <t>(degrees)</t>
    </r>
  </si>
  <si>
    <r>
      <t>a</t>
    </r>
    <r>
      <rPr>
        <vertAlign val="subscript"/>
        <sz val="10"/>
        <rFont val="Arial"/>
        <family val="2"/>
      </rPr>
      <t>21</t>
    </r>
    <r>
      <rPr>
        <sz val="10"/>
        <rFont val="Arial"/>
        <family val="2"/>
      </rPr>
      <t xml:space="preserve"> (degrees)</t>
    </r>
  </si>
  <si>
    <t>Critical case tests</t>
  </si>
  <si>
    <t>Same Point</t>
  </si>
  <si>
    <t>North south meridian</t>
  </si>
  <si>
    <t>South North meridian</t>
  </si>
  <si>
    <r>
      <t>Latitude (</t>
    </r>
    <r>
      <rPr>
        <b/>
        <sz val="10"/>
        <rFont val="Symbol"/>
        <family val="1"/>
      </rPr>
      <t>j</t>
    </r>
    <r>
      <rPr>
        <b/>
        <vertAlign val="subscript"/>
        <sz val="10"/>
        <rFont val="Arial"/>
        <family val="2"/>
      </rPr>
      <t>1</t>
    </r>
    <r>
      <rPr>
        <b/>
        <sz val="10"/>
        <rFont val="Arial"/>
        <family val="2"/>
      </rPr>
      <t>)</t>
    </r>
  </si>
  <si>
    <r>
      <t>Latitude (</t>
    </r>
    <r>
      <rPr>
        <b/>
        <sz val="10"/>
        <rFont val="Symbol"/>
        <family val="1"/>
      </rPr>
      <t>j</t>
    </r>
    <r>
      <rPr>
        <b/>
        <vertAlign val="subscript"/>
        <sz val="10"/>
        <rFont val="Arial"/>
        <family val="2"/>
      </rPr>
      <t>2</t>
    </r>
    <r>
      <rPr>
        <b/>
        <sz val="10"/>
        <rFont val="Arial"/>
        <family val="2"/>
      </rPr>
      <t>)</t>
    </r>
  </si>
  <si>
    <r>
      <t>Longitude (</t>
    </r>
    <r>
      <rPr>
        <b/>
        <sz val="10"/>
        <rFont val="Symbol"/>
        <family val="1"/>
      </rPr>
      <t>l</t>
    </r>
    <r>
      <rPr>
        <b/>
        <vertAlign val="subscript"/>
        <sz val="10"/>
        <rFont val="Arial"/>
        <family val="2"/>
      </rPr>
      <t>1</t>
    </r>
    <r>
      <rPr>
        <b/>
        <sz val="10"/>
        <rFont val="Arial"/>
        <family val="2"/>
      </rPr>
      <t>)</t>
    </r>
  </si>
  <si>
    <r>
      <t>Longitude (</t>
    </r>
    <r>
      <rPr>
        <b/>
        <sz val="10"/>
        <rFont val="Symbol"/>
        <family val="1"/>
      </rPr>
      <t>l</t>
    </r>
    <r>
      <rPr>
        <b/>
        <vertAlign val="subscript"/>
        <sz val="10"/>
        <rFont val="Arial"/>
        <family val="2"/>
      </rPr>
      <t>2</t>
    </r>
    <r>
      <rPr>
        <b/>
        <sz val="10"/>
        <rFont val="Arial"/>
        <family val="2"/>
      </rPr>
      <t>)</t>
    </r>
  </si>
  <si>
    <r>
      <t>Azimuth 1-2 (</t>
    </r>
    <r>
      <rPr>
        <b/>
        <sz val="10"/>
        <rFont val="Symbol"/>
        <family val="1"/>
      </rPr>
      <t>a</t>
    </r>
    <r>
      <rPr>
        <b/>
        <vertAlign val="subscript"/>
        <sz val="10"/>
        <rFont val="Arial"/>
        <family val="2"/>
      </rPr>
      <t>12</t>
    </r>
    <r>
      <rPr>
        <b/>
        <sz val="10"/>
        <rFont val="Arial"/>
        <family val="2"/>
      </rPr>
      <t>)</t>
    </r>
  </si>
  <si>
    <r>
      <t>Azimuth 2-1(</t>
    </r>
    <r>
      <rPr>
        <b/>
        <sz val="10"/>
        <rFont val="Symbol"/>
        <family val="1"/>
      </rPr>
      <t>a</t>
    </r>
    <r>
      <rPr>
        <b/>
        <vertAlign val="subscript"/>
        <sz val="10"/>
        <rFont val="Arial"/>
        <family val="2"/>
      </rPr>
      <t>21</t>
    </r>
    <r>
      <rPr>
        <b/>
        <sz val="10"/>
        <rFont val="Arial"/>
        <family val="2"/>
      </rPr>
      <t>)</t>
    </r>
  </si>
  <si>
    <t>Bessel</t>
  </si>
</sst>
</file>

<file path=xl/styles.xml><?xml version="1.0" encoding="utf-8"?>
<styleSheet xmlns="http://schemas.openxmlformats.org/spreadsheetml/2006/main">
  <numFmts count="37">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00"/>
    <numFmt numFmtId="181" formatCode="0.000"/>
    <numFmt numFmtId="182" formatCode="0.000000000"/>
    <numFmt numFmtId="183" formatCode="0,000,000.000"/>
    <numFmt numFmtId="184" formatCode="0.000\ 000\ 000\ 000"/>
    <numFmt numFmtId="186" formatCode="000,000.000"/>
    <numFmt numFmtId="189" formatCode="00,000.000"/>
    <numFmt numFmtId="192" formatCode="00.000"/>
    <numFmt numFmtId="195" formatCode="0\°"/>
    <numFmt numFmtId="196" formatCode="00\'"/>
    <numFmt numFmtId="199" formatCode="00.000\&quot;"/>
    <numFmt numFmtId="201" formatCode="0.000\ 000\ 000\°"/>
    <numFmt numFmtId="202" formatCode="00\°"/>
    <numFmt numFmtId="205" formatCode="00.000\ 00\&quot;"/>
    <numFmt numFmtId="206" formatCode="0.000\ 000\ 0000"/>
    <numFmt numFmtId="207" formatCode="0.00000000000"/>
    <numFmt numFmtId="208" formatCode="0.0000000000"/>
    <numFmt numFmtId="213" formatCode="00.0000\&quot;"/>
    <numFmt numFmtId="215" formatCode="000,000.00"/>
    <numFmt numFmtId="218" formatCode="00.00\ 000\ \&quot;"/>
    <numFmt numFmtId="219" formatCode="0.0000000000000"/>
    <numFmt numFmtId="222" formatCode="0.000\ 000\ 000\ 0"/>
    <numFmt numFmtId="223" formatCode="0,000,000.0000"/>
    <numFmt numFmtId="224" formatCode="000\°"/>
    <numFmt numFmtId="226" formatCode="00.0000\ \&quot;"/>
  </numFmts>
  <fonts count="31">
    <font>
      <sz val="10"/>
      <name val="Arial"/>
      <family val="0"/>
    </font>
    <font>
      <b/>
      <sz val="10"/>
      <name val="Arial"/>
      <family val="0"/>
    </font>
    <font>
      <i/>
      <sz val="10"/>
      <name val="Arial"/>
      <family val="0"/>
    </font>
    <font>
      <b/>
      <i/>
      <sz val="10"/>
      <name val="Arial"/>
      <family val="0"/>
    </font>
    <font>
      <sz val="10"/>
      <color indexed="10"/>
      <name val="Arial"/>
      <family val="2"/>
    </font>
    <font>
      <sz val="10"/>
      <color indexed="16"/>
      <name val="Arial"/>
      <family val="2"/>
    </font>
    <font>
      <b/>
      <sz val="12"/>
      <color indexed="8"/>
      <name val="Arial"/>
      <family val="0"/>
    </font>
    <font>
      <sz val="14"/>
      <color indexed="10"/>
      <name val="Arial"/>
      <family val="2"/>
    </font>
    <font>
      <sz val="10"/>
      <name val="Symbol"/>
      <family val="1"/>
    </font>
    <font>
      <sz val="10"/>
      <color indexed="12"/>
      <name val="Arial"/>
      <family val="2"/>
    </font>
    <font>
      <b/>
      <sz val="10"/>
      <color indexed="8"/>
      <name val="Arial"/>
      <family val="2"/>
    </font>
    <font>
      <sz val="10"/>
      <name val="MS Sans Serif"/>
      <family val="0"/>
    </font>
    <font>
      <sz val="10"/>
      <color indexed="48"/>
      <name val="Arial"/>
      <family val="2"/>
    </font>
    <font>
      <sz val="12"/>
      <name val="Arial"/>
      <family val="2"/>
    </font>
    <font>
      <b/>
      <sz val="8"/>
      <name val="Arial"/>
      <family val="2"/>
    </font>
    <font>
      <sz val="10"/>
      <color indexed="8"/>
      <name val="Arial"/>
      <family val="2"/>
    </font>
    <font>
      <vertAlign val="subscript"/>
      <sz val="10"/>
      <name val="Arial"/>
      <family val="2"/>
    </font>
    <font>
      <b/>
      <sz val="10"/>
      <name val="Symbol"/>
      <family val="1"/>
    </font>
    <font>
      <vertAlign val="subscript"/>
      <sz val="10"/>
      <color indexed="16"/>
      <name val="Arial"/>
      <family val="2"/>
    </font>
    <font>
      <sz val="10"/>
      <color indexed="16"/>
      <name val="Symbol"/>
      <family val="1"/>
    </font>
    <font>
      <sz val="10"/>
      <color indexed="8"/>
      <name val="Symbol"/>
      <family val="1"/>
    </font>
    <font>
      <vertAlign val="subscript"/>
      <sz val="10"/>
      <color indexed="8"/>
      <name val="Arial"/>
      <family val="2"/>
    </font>
    <font>
      <vertAlign val="superscript"/>
      <sz val="10"/>
      <name val="Arial"/>
      <family val="2"/>
    </font>
    <font>
      <sz val="8"/>
      <name val="Tahoma"/>
      <family val="0"/>
    </font>
    <font>
      <vertAlign val="superscript"/>
      <sz val="9"/>
      <name val="Arial"/>
      <family val="2"/>
    </font>
    <font>
      <vertAlign val="subscript"/>
      <sz val="11"/>
      <name val="Arial"/>
      <family val="2"/>
    </font>
    <font>
      <vertAlign val="superscript"/>
      <sz val="11"/>
      <name val="Arial"/>
      <family val="2"/>
    </font>
    <font>
      <sz val="9"/>
      <name val="Symbol"/>
      <family val="1"/>
    </font>
    <font>
      <vertAlign val="subscript"/>
      <sz val="11"/>
      <name val="Symbol"/>
      <family val="1"/>
    </font>
    <font>
      <sz val="11"/>
      <name val="Symbol"/>
      <family val="1"/>
    </font>
    <font>
      <b/>
      <vertAlign val="subscript"/>
      <sz val="10"/>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184" fontId="0" fillId="0" borderId="0" xfId="0" applyNumberFormat="1" applyAlignment="1">
      <alignment/>
    </xf>
    <xf numFmtId="0" fontId="0" fillId="0" borderId="0" xfId="0" applyAlignment="1">
      <alignment horizontal="righ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184" fontId="0" fillId="0" borderId="0" xfId="0" applyNumberFormat="1" applyBorder="1" applyAlignment="1">
      <alignment/>
    </xf>
    <xf numFmtId="0" fontId="0" fillId="0" borderId="0" xfId="0" applyBorder="1" applyAlignment="1">
      <alignment horizontal="right"/>
    </xf>
    <xf numFmtId="0" fontId="0" fillId="0" borderId="3" xfId="0" applyBorder="1" applyAlignment="1">
      <alignment/>
    </xf>
    <xf numFmtId="0" fontId="5" fillId="2" borderId="0" xfId="0" applyFont="1" applyFill="1" applyBorder="1" applyAlignment="1">
      <alignment/>
    </xf>
    <xf numFmtId="0" fontId="6" fillId="0" borderId="0" xfId="0" applyFont="1" applyBorder="1" applyAlignment="1">
      <alignment/>
    </xf>
    <xf numFmtId="0" fontId="0" fillId="0" borderId="4" xfId="0" applyBorder="1" applyAlignment="1">
      <alignment/>
    </xf>
    <xf numFmtId="0" fontId="0" fillId="0" borderId="0" xfId="0" applyAlignment="1">
      <alignment horizontal="center"/>
    </xf>
    <xf numFmtId="195" fontId="4" fillId="3" borderId="0" xfId="0" applyNumberFormat="1" applyFont="1" applyFill="1" applyBorder="1" applyAlignment="1">
      <alignment horizontal="right"/>
    </xf>
    <xf numFmtId="196" fontId="4" fillId="3" borderId="0" xfId="0" applyNumberFormat="1" applyFont="1" applyFill="1" applyBorder="1" applyAlignment="1">
      <alignment/>
    </xf>
    <xf numFmtId="195" fontId="5" fillId="2" borderId="0" xfId="0" applyNumberFormat="1" applyFont="1" applyFill="1" applyBorder="1" applyAlignment="1">
      <alignment/>
    </xf>
    <xf numFmtId="196" fontId="5" fillId="2" borderId="0" xfId="0" applyNumberFormat="1" applyFont="1" applyFill="1" applyBorder="1" applyAlignment="1">
      <alignment/>
    </xf>
    <xf numFmtId="195" fontId="0" fillId="0" borderId="0" xfId="0" applyNumberFormat="1" applyBorder="1" applyAlignment="1">
      <alignment/>
    </xf>
    <xf numFmtId="196" fontId="0" fillId="0" borderId="0" xfId="0" applyNumberFormat="1" applyBorder="1" applyAlignment="1">
      <alignment/>
    </xf>
    <xf numFmtId="201" fontId="0" fillId="0" borderId="0" xfId="0" applyNumberFormat="1" applyAlignment="1">
      <alignment/>
    </xf>
    <xf numFmtId="202" fontId="5" fillId="2" borderId="0" xfId="0" applyNumberFormat="1" applyFont="1" applyFill="1" applyBorder="1" applyAlignment="1">
      <alignment/>
    </xf>
    <xf numFmtId="186" fontId="0" fillId="0" borderId="0" xfId="0" applyNumberFormat="1" applyBorder="1" applyAlignment="1">
      <alignment/>
    </xf>
    <xf numFmtId="201" fontId="0" fillId="0" borderId="0" xfId="0" applyNumberFormat="1" applyBorder="1" applyAlignment="1">
      <alignment/>
    </xf>
    <xf numFmtId="205" fontId="0" fillId="0" borderId="0" xfId="0" applyNumberFormat="1" applyBorder="1" applyAlignment="1">
      <alignment/>
    </xf>
    <xf numFmtId="202" fontId="0" fillId="0" borderId="0" xfId="0" applyNumberFormat="1" applyBorder="1" applyAlignment="1">
      <alignment/>
    </xf>
    <xf numFmtId="206" fontId="0" fillId="0" borderId="0" xfId="0" applyNumberFormat="1" applyBorder="1" applyAlignment="1">
      <alignment/>
    </xf>
    <xf numFmtId="186" fontId="4" fillId="3" borderId="3" xfId="0" applyNumberFormat="1" applyFont="1" applyFill="1" applyBorder="1" applyAlignment="1">
      <alignment horizontal="right"/>
    </xf>
    <xf numFmtId="183" fontId="4" fillId="3" borderId="5" xfId="0" applyNumberFormat="1" applyFont="1" applyFill="1" applyBorder="1" applyAlignment="1">
      <alignment/>
    </xf>
    <xf numFmtId="0" fontId="5" fillId="2" borderId="6" xfId="0" applyFont="1" applyFill="1" applyBorder="1" applyAlignment="1">
      <alignment/>
    </xf>
    <xf numFmtId="0" fontId="0" fillId="0" borderId="0" xfId="0" applyFont="1" applyBorder="1" applyAlignment="1">
      <alignment/>
    </xf>
    <xf numFmtId="0" fontId="0" fillId="0" borderId="0" xfId="0" applyAlignment="1">
      <alignment wrapText="1"/>
    </xf>
    <xf numFmtId="0" fontId="0" fillId="0" borderId="0" xfId="0" applyNumberFormat="1" applyFont="1" applyFill="1" applyBorder="1" applyAlignment="1" applyProtection="1">
      <alignment/>
      <protection/>
    </xf>
    <xf numFmtId="180"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08"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202" fontId="4" fillId="3" borderId="0" xfId="0" applyNumberFormat="1" applyFont="1" applyFill="1" applyBorder="1" applyAlignment="1">
      <alignment/>
    </xf>
    <xf numFmtId="0" fontId="4" fillId="3" borderId="0" xfId="0" applyFont="1" applyFill="1" applyBorder="1" applyAlignment="1">
      <alignment/>
    </xf>
    <xf numFmtId="180" fontId="8" fillId="0" borderId="0" xfId="0" applyNumberFormat="1" applyFont="1" applyFill="1" applyBorder="1" applyAlignment="1" applyProtection="1">
      <alignment/>
      <protection/>
    </xf>
    <xf numFmtId="180" fontId="11" fillId="0" borderId="0" xfId="0" applyNumberFormat="1" applyFont="1" applyFill="1" applyBorder="1" applyAlignment="1" applyProtection="1">
      <alignment/>
      <protection/>
    </xf>
    <xf numFmtId="182" fontId="0" fillId="0" borderId="0"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80" fontId="9" fillId="0" borderId="0" xfId="0" applyNumberFormat="1" applyFont="1" applyFill="1" applyBorder="1" applyAlignment="1" applyProtection="1">
      <alignment/>
      <protection/>
    </xf>
    <xf numFmtId="0" fontId="5" fillId="0" borderId="0" xfId="0" applyFont="1" applyFill="1" applyBorder="1" applyAlignment="1">
      <alignment/>
    </xf>
    <xf numFmtId="1" fontId="5" fillId="0" borderId="0" xfId="0" applyNumberFormat="1" applyFont="1" applyFill="1" applyBorder="1" applyAlignment="1">
      <alignment/>
    </xf>
    <xf numFmtId="218" fontId="5" fillId="0" borderId="0" xfId="0" applyNumberFormat="1" applyFont="1" applyFill="1" applyBorder="1" applyAlignment="1">
      <alignment horizontal="left"/>
    </xf>
    <xf numFmtId="21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180" fontId="0" fillId="0" borderId="0" xfId="0" applyNumberFormat="1" applyFont="1" applyFill="1" applyBorder="1" applyAlignment="1" applyProtection="1">
      <alignment/>
      <protection/>
    </xf>
    <xf numFmtId="222" fontId="0" fillId="0" borderId="0" xfId="0" applyNumberFormat="1" applyAlignment="1">
      <alignment/>
    </xf>
    <xf numFmtId="224" fontId="4" fillId="3" borderId="0" xfId="0" applyNumberFormat="1" applyFont="1" applyFill="1" applyBorder="1" applyAlignment="1">
      <alignment/>
    </xf>
    <xf numFmtId="189" fontId="4" fillId="3" borderId="0" xfId="0" applyNumberFormat="1" applyFont="1" applyFill="1" applyBorder="1" applyAlignment="1">
      <alignment/>
    </xf>
    <xf numFmtId="0" fontId="1" fillId="0" borderId="0" xfId="0" applyFont="1" applyAlignment="1">
      <alignment horizontal="centerContinuous"/>
    </xf>
    <xf numFmtId="189" fontId="1" fillId="0" borderId="0" xfId="0" applyNumberFormat="1" applyFont="1" applyAlignment="1">
      <alignment/>
    </xf>
    <xf numFmtId="189" fontId="0" fillId="0" borderId="0" xfId="0" applyNumberFormat="1" applyAlignment="1">
      <alignment/>
    </xf>
    <xf numFmtId="223" fontId="0" fillId="0" borderId="0" xfId="0" applyNumberFormat="1" applyFont="1" applyAlignment="1">
      <alignment/>
    </xf>
    <xf numFmtId="223" fontId="0" fillId="0" borderId="0" xfId="0" applyNumberFormat="1" applyFont="1" applyAlignment="1" applyProtection="1">
      <alignment/>
      <protection locked="0"/>
    </xf>
    <xf numFmtId="184" fontId="0" fillId="0" borderId="0" xfId="0" applyNumberFormat="1" applyBorder="1" applyAlignment="1">
      <alignment horizontal="left"/>
    </xf>
    <xf numFmtId="0" fontId="1" fillId="0" borderId="0" xfId="0" applyFont="1" applyBorder="1" applyAlignment="1">
      <alignment horizontal="center"/>
    </xf>
    <xf numFmtId="0" fontId="7" fillId="3" borderId="1" xfId="0" applyFont="1" applyFill="1" applyBorder="1" applyAlignment="1">
      <alignment/>
    </xf>
    <xf numFmtId="0" fontId="0" fillId="3" borderId="7" xfId="0" applyFill="1" applyBorder="1" applyAlignment="1">
      <alignment/>
    </xf>
    <xf numFmtId="195" fontId="5" fillId="2" borderId="8" xfId="0" applyNumberFormat="1" applyFont="1" applyFill="1" applyBorder="1" applyAlignment="1">
      <alignment/>
    </xf>
    <xf numFmtId="196" fontId="5" fillId="2" borderId="8" xfId="0" applyNumberFormat="1" applyFont="1" applyFill="1" applyBorder="1" applyAlignment="1">
      <alignment/>
    </xf>
    <xf numFmtId="0" fontId="0" fillId="3" borderId="1" xfId="0" applyFill="1" applyBorder="1" applyAlignment="1">
      <alignment/>
    </xf>
    <xf numFmtId="0" fontId="8"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Border="1" applyAlignment="1">
      <alignment horizontal="center"/>
    </xf>
    <xf numFmtId="0" fontId="8"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Continuous"/>
      <protection/>
    </xf>
    <xf numFmtId="0" fontId="1" fillId="0" borderId="0" xfId="0" applyFont="1" applyBorder="1" applyAlignment="1">
      <alignment horizontal="centerContinuous"/>
    </xf>
    <xf numFmtId="199" fontId="4" fillId="3" borderId="3" xfId="0" applyNumberFormat="1" applyFont="1" applyFill="1" applyBorder="1" applyAlignment="1">
      <alignment horizontal="left"/>
    </xf>
    <xf numFmtId="202" fontId="5" fillId="2" borderId="8" xfId="0" applyNumberFormat="1" applyFont="1" applyFill="1" applyBorder="1" applyAlignment="1">
      <alignment/>
    </xf>
    <xf numFmtId="1" fontId="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centerContinuous"/>
      <protection/>
    </xf>
    <xf numFmtId="0" fontId="8" fillId="0" borderId="0" xfId="0" applyFont="1" applyAlignment="1">
      <alignment/>
    </xf>
    <xf numFmtId="0" fontId="6" fillId="0" borderId="1" xfId="0" applyFont="1" applyBorder="1" applyAlignment="1">
      <alignment horizontal="right"/>
    </xf>
    <xf numFmtId="0" fontId="1" fillId="0" borderId="0" xfId="0" applyNumberFormat="1" applyFont="1" applyFill="1" applyBorder="1" applyAlignment="1" applyProtection="1">
      <alignment horizontal="right"/>
      <protection/>
    </xf>
    <xf numFmtId="0" fontId="6" fillId="0" borderId="4" xfId="0" applyFont="1" applyBorder="1" applyAlignment="1">
      <alignment horizontal="right"/>
    </xf>
    <xf numFmtId="0" fontId="1" fillId="0" borderId="2" xfId="0" applyNumberFormat="1" applyFont="1" applyFill="1" applyBorder="1" applyAlignment="1" applyProtection="1">
      <alignment horizontal="right"/>
      <protection/>
    </xf>
    <xf numFmtId="0" fontId="5" fillId="2" borderId="2" xfId="0" applyFont="1" applyFill="1" applyBorder="1" applyAlignment="1">
      <alignment horizontal="right"/>
    </xf>
    <xf numFmtId="0" fontId="5" fillId="2" borderId="9" xfId="0" applyFont="1" applyFill="1" applyBorder="1" applyAlignment="1">
      <alignment horizontal="right"/>
    </xf>
    <xf numFmtId="0" fontId="10" fillId="4" borderId="2" xfId="0" applyFont="1" applyFill="1" applyBorder="1" applyAlignment="1">
      <alignment horizontal="right"/>
    </xf>
    <xf numFmtId="202" fontId="5" fillId="2" borderId="2" xfId="0" applyNumberFormat="1" applyFont="1" applyFill="1" applyBorder="1" applyAlignment="1">
      <alignment horizontal="right"/>
    </xf>
    <xf numFmtId="202" fontId="5" fillId="2" borderId="9" xfId="0" applyNumberFormat="1" applyFont="1" applyFill="1" applyBorder="1" applyAlignment="1">
      <alignment horizontal="right"/>
    </xf>
    <xf numFmtId="0" fontId="1" fillId="0" borderId="0" xfId="0" applyFont="1" applyBorder="1" applyAlignment="1">
      <alignment horizontal="right"/>
    </xf>
    <xf numFmtId="0" fontId="5" fillId="2" borderId="8" xfId="0" applyFont="1" applyFill="1" applyBorder="1" applyAlignment="1">
      <alignment horizontal="right"/>
    </xf>
    <xf numFmtId="219" fontId="0" fillId="0" borderId="0" xfId="0" applyNumberFormat="1" applyAlignment="1">
      <alignment/>
    </xf>
    <xf numFmtId="213" fontId="4" fillId="3" borderId="0" xfId="0" applyNumberFormat="1" applyFont="1" applyFill="1" applyBorder="1" applyAlignment="1">
      <alignment horizontal="left"/>
    </xf>
    <xf numFmtId="213" fontId="4" fillId="3" borderId="3" xfId="0" applyNumberFormat="1" applyFont="1" applyFill="1" applyBorder="1" applyAlignment="1">
      <alignment horizontal="left"/>
    </xf>
    <xf numFmtId="181" fontId="0" fillId="0" borderId="0" xfId="0" applyNumberFormat="1" applyFont="1" applyFill="1" applyBorder="1" applyAlignment="1" applyProtection="1">
      <alignment/>
      <protection/>
    </xf>
    <xf numFmtId="195" fontId="4" fillId="3" borderId="0" xfId="0" applyNumberFormat="1" applyFont="1" applyFill="1" applyBorder="1" applyAlignment="1">
      <alignment horizontal="center"/>
    </xf>
    <xf numFmtId="182" fontId="5" fillId="2" borderId="10" xfId="0" applyNumberFormat="1" applyFont="1" applyFill="1" applyBorder="1" applyAlignment="1">
      <alignment horizontal="center"/>
    </xf>
    <xf numFmtId="182" fontId="5" fillId="2" borderId="5" xfId="0" applyNumberFormat="1" applyFont="1" applyFill="1" applyBorder="1" applyAlignment="1">
      <alignment/>
    </xf>
    <xf numFmtId="0" fontId="5" fillId="2" borderId="5" xfId="0" applyFont="1" applyFill="1" applyBorder="1" applyAlignment="1">
      <alignment/>
    </xf>
    <xf numFmtId="215" fontId="5" fillId="2" borderId="6" xfId="0" applyNumberFormat="1" applyFont="1" applyFill="1" applyBorder="1" applyAlignment="1">
      <alignment/>
    </xf>
    <xf numFmtId="0" fontId="1" fillId="0" borderId="11" xfId="0" applyFont="1" applyBorder="1" applyAlignment="1" applyProtection="1">
      <alignment horizontal="center"/>
      <protection/>
    </xf>
    <xf numFmtId="0" fontId="0" fillId="0" borderId="11" xfId="0" applyBorder="1" applyAlignment="1" applyProtection="1">
      <alignment/>
      <protection/>
    </xf>
    <xf numFmtId="0" fontId="1" fillId="0" borderId="11" xfId="0" applyFont="1" applyBorder="1" applyAlignment="1" applyProtection="1">
      <alignment horizontal="center"/>
      <protection/>
    </xf>
    <xf numFmtId="0" fontId="0" fillId="0" borderId="11" xfId="0" applyFont="1" applyBorder="1" applyAlignment="1" applyProtection="1">
      <alignment horizontal="right"/>
      <protection/>
    </xf>
    <xf numFmtId="223" fontId="0" fillId="0" borderId="11" xfId="0" applyNumberFormat="1" applyFont="1" applyBorder="1" applyAlignment="1" applyProtection="1">
      <alignment horizontal="right"/>
      <protection/>
    </xf>
    <xf numFmtId="0" fontId="13" fillId="0" borderId="11" xfId="0" applyFont="1" applyBorder="1" applyAlignment="1" applyProtection="1">
      <alignment horizontal="left"/>
      <protection/>
    </xf>
    <xf numFmtId="222" fontId="0" fillId="0" borderId="11" xfId="0" applyNumberFormat="1" applyFont="1" applyBorder="1" applyAlignment="1" applyProtection="1">
      <alignment horizontal="right"/>
      <protection/>
    </xf>
    <xf numFmtId="2" fontId="0" fillId="0" borderId="0" xfId="0" applyNumberFormat="1" applyBorder="1" applyAlignment="1">
      <alignment/>
    </xf>
    <xf numFmtId="0" fontId="14" fillId="0" borderId="12" xfId="0" applyFont="1" applyBorder="1" applyAlignment="1">
      <alignment horizontal="center"/>
    </xf>
    <xf numFmtId="0" fontId="14" fillId="0" borderId="1" xfId="0" applyFont="1" applyBorder="1" applyAlignment="1">
      <alignment horizontal="center"/>
    </xf>
    <xf numFmtId="192" fontId="4" fillId="3" borderId="0" xfId="0" applyNumberFormat="1" applyFont="1" applyFill="1" applyBorder="1" applyAlignment="1">
      <alignment horizontal="right"/>
    </xf>
    <xf numFmtId="199" fontId="4" fillId="3" borderId="0" xfId="0" applyNumberFormat="1" applyFont="1" applyFill="1" applyBorder="1" applyAlignment="1">
      <alignment horizontal="left"/>
    </xf>
    <xf numFmtId="0" fontId="1" fillId="0" borderId="4" xfId="0" applyFont="1" applyBorder="1" applyAlignment="1">
      <alignment/>
    </xf>
    <xf numFmtId="0" fontId="1" fillId="0" borderId="1" xfId="0" applyFont="1" applyBorder="1" applyAlignment="1">
      <alignment/>
    </xf>
    <xf numFmtId="189" fontId="0" fillId="0" borderId="1" xfId="0" applyNumberFormat="1" applyBorder="1" applyAlignment="1">
      <alignment/>
    </xf>
    <xf numFmtId="0" fontId="0" fillId="0" borderId="7" xfId="0" applyBorder="1" applyAlignment="1">
      <alignment/>
    </xf>
    <xf numFmtId="0" fontId="1" fillId="0" borderId="2" xfId="0" applyFont="1" applyBorder="1" applyAlignment="1">
      <alignment/>
    </xf>
    <xf numFmtId="0" fontId="1" fillId="0" borderId="0" xfId="0" applyFont="1" applyBorder="1" applyAlignment="1">
      <alignment/>
    </xf>
    <xf numFmtId="189" fontId="0" fillId="0" borderId="0" xfId="0" applyNumberFormat="1" applyBorder="1" applyAlignment="1">
      <alignment/>
    </xf>
    <xf numFmtId="0" fontId="0" fillId="0" borderId="8" xfId="0" applyBorder="1" applyAlignment="1">
      <alignment/>
    </xf>
    <xf numFmtId="189" fontId="0" fillId="0" borderId="8" xfId="0" applyNumberFormat="1" applyBorder="1" applyAlignment="1">
      <alignment/>
    </xf>
    <xf numFmtId="0" fontId="0" fillId="0" borderId="13" xfId="0" applyBorder="1" applyAlignment="1">
      <alignment/>
    </xf>
    <xf numFmtId="0" fontId="1" fillId="0" borderId="9" xfId="0" applyFont="1" applyBorder="1" applyAlignment="1">
      <alignment/>
    </xf>
    <xf numFmtId="195" fontId="4" fillId="3" borderId="8" xfId="0" applyNumberFormat="1" applyFont="1" applyFill="1" applyBorder="1" applyAlignment="1">
      <alignment horizontal="right"/>
    </xf>
    <xf numFmtId="196" fontId="4" fillId="3" borderId="8" xfId="0" applyNumberFormat="1" applyFont="1" applyFill="1" applyBorder="1" applyAlignment="1">
      <alignment/>
    </xf>
    <xf numFmtId="199" fontId="4" fillId="3" borderId="8" xfId="0" applyNumberFormat="1" applyFont="1" applyFill="1" applyBorder="1" applyAlignment="1">
      <alignment horizontal="left"/>
    </xf>
    <xf numFmtId="49" fontId="1" fillId="0" borderId="0" xfId="0" applyNumberFormat="1" applyFont="1" applyFill="1" applyBorder="1" applyAlignment="1" applyProtection="1" quotePrefix="1">
      <alignment horizontal="left"/>
      <protection/>
    </xf>
    <xf numFmtId="18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0" fillId="0" borderId="0" xfId="0" applyFont="1" applyAlignment="1">
      <alignment horizontal="left"/>
    </xf>
    <xf numFmtId="208" fontId="0" fillId="0" borderId="0" xfId="0" applyNumberFormat="1" applyFont="1" applyFill="1" applyBorder="1" applyAlignment="1" applyProtection="1">
      <alignment/>
      <protection/>
    </xf>
    <xf numFmtId="0" fontId="0" fillId="0" borderId="0" xfId="0" applyFont="1" applyAlignment="1">
      <alignment/>
    </xf>
    <xf numFmtId="208" fontId="0" fillId="0" borderId="0" xfId="0" applyNumberFormat="1" applyAlignment="1">
      <alignment/>
    </xf>
    <xf numFmtId="0" fontId="1" fillId="0" borderId="0" xfId="0" applyFont="1" applyAlignment="1">
      <alignment/>
    </xf>
    <xf numFmtId="207" fontId="0" fillId="0" borderId="0" xfId="0" applyNumberFormat="1" applyFont="1" applyAlignment="1">
      <alignment horizontal="centerContinuous"/>
    </xf>
    <xf numFmtId="207" fontId="12" fillId="0" borderId="0" xfId="0" applyNumberFormat="1" applyFont="1" applyFill="1" applyBorder="1" applyAlignment="1" applyProtection="1">
      <alignment horizontal="centerContinuous"/>
      <protection/>
    </xf>
    <xf numFmtId="226" fontId="5" fillId="2" borderId="13" xfId="0" applyNumberFormat="1" applyFont="1" applyFill="1" applyBorder="1" applyAlignment="1">
      <alignment horizontal="left"/>
    </xf>
    <xf numFmtId="0" fontId="1" fillId="0" borderId="0" xfId="0" applyNumberFormat="1" applyFont="1" applyFill="1" applyBorder="1" applyAlignment="1" applyProtection="1">
      <alignment horizontal="left"/>
      <protection/>
    </xf>
    <xf numFmtId="180" fontId="1" fillId="0" borderId="0" xfId="0" applyNumberFormat="1" applyFont="1" applyFill="1" applyBorder="1" applyAlignment="1" applyProtection="1">
      <alignment horizontal="left"/>
      <protection/>
    </xf>
    <xf numFmtId="208" fontId="0" fillId="0" borderId="0" xfId="0" applyNumberFormat="1" applyBorder="1" applyAlignment="1">
      <alignment/>
    </xf>
    <xf numFmtId="207" fontId="0" fillId="0" borderId="0" xfId="0" applyNumberFormat="1" applyBorder="1" applyAlignment="1">
      <alignment/>
    </xf>
    <xf numFmtId="207" fontId="0" fillId="0" borderId="0" xfId="0" applyNumberFormat="1" applyFont="1" applyFill="1" applyBorder="1" applyAlignment="1" applyProtection="1">
      <alignment/>
      <protection/>
    </xf>
    <xf numFmtId="226" fontId="5" fillId="2" borderId="0" xfId="0" applyNumberFormat="1" applyFont="1" applyFill="1" applyBorder="1" applyAlignment="1">
      <alignment horizontal="left"/>
    </xf>
    <xf numFmtId="0" fontId="27" fillId="0" borderId="0" xfId="0" applyNumberFormat="1" applyFont="1" applyFill="1" applyBorder="1" applyAlignment="1" applyProtection="1">
      <alignment/>
      <protection/>
    </xf>
    <xf numFmtId="180" fontId="8" fillId="0" borderId="0" xfId="0" applyNumberFormat="1" applyFont="1" applyFill="1" applyBorder="1" applyAlignment="1" applyProtection="1">
      <alignment/>
      <protection/>
    </xf>
    <xf numFmtId="199" fontId="5" fillId="2" borderId="3" xfId="0" applyNumberFormat="1" applyFont="1" applyFill="1" applyBorder="1" applyAlignment="1">
      <alignment horizontal="left"/>
    </xf>
    <xf numFmtId="181" fontId="5" fillId="2" borderId="0" xfId="0" applyNumberFormat="1" applyFont="1" applyFill="1" applyBorder="1" applyAlignment="1">
      <alignment horizontal="right"/>
    </xf>
    <xf numFmtId="199" fontId="5" fillId="2" borderId="13" xfId="0" applyNumberFormat="1"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0</xdr:rowOff>
    </xdr:from>
    <xdr:to>
      <xdr:col>7</xdr:col>
      <xdr:colOff>733425</xdr:colOff>
      <xdr:row>11</xdr:row>
      <xdr:rowOff>104775</xdr:rowOff>
    </xdr:to>
    <xdr:sp>
      <xdr:nvSpPr>
        <xdr:cNvPr id="1" name="Text 1"/>
        <xdr:cNvSpPr txBox="1">
          <a:spLocks noChangeArrowheads="1"/>
        </xdr:cNvSpPr>
      </xdr:nvSpPr>
      <xdr:spPr>
        <a:xfrm>
          <a:off x="1790700" y="161925"/>
          <a:ext cx="6943725" cy="1562100"/>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(1) Enter in Cell A5, the number of the ellipsoid required, selected from A13:G13. The name and parameters for the required ellipsoid will automatically be shown  in A5:A9.
You may enter your own parameters in User cellsHI4 andH5.   
NOTE:  Only a and 1/f need be entered, f and b are automatically calculated.
(2) Proceed to the Inverse Case or Direct Case worksheet.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58</xdr:row>
      <xdr:rowOff>0</xdr:rowOff>
    </xdr:from>
    <xdr:to>
      <xdr:col>9</xdr:col>
      <xdr:colOff>0</xdr:colOff>
      <xdr:row>74</xdr:row>
      <xdr:rowOff>0</xdr:rowOff>
    </xdr:to>
    <xdr:sp>
      <xdr:nvSpPr>
        <xdr:cNvPr id="1" name="Text 1"/>
        <xdr:cNvSpPr txBox="1">
          <a:spLocks noChangeArrowheads="1"/>
        </xdr:cNvSpPr>
      </xdr:nvSpPr>
      <xdr:spPr>
        <a:xfrm>
          <a:off x="190500" y="1562100"/>
          <a:ext cx="6915150" cy="2590800"/>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(1)Choose the appropriate ellipsoid parameters on the "Ellipsoids" worksheet.
(2) Enter the station names in cells C2,G2 (documentation only).
(3) Enter the Latitude of Station 1 in cells C3:E3, Longitude in cells C4:E4.
Remember that south latitude is negative.
(4) Enter the azimuth 1-2, in cells G3:I3.
(5)  Enter the ellipsoidal distance (s) in cell G4.
To see the intermediate steps, use the Excel "outlining" features:
(i) SHOW the outline symbols, and then
(ii) UNGROUP the hidden rows and columns as required.
This spreadsheet has been tested for use within the Australian region. While some testing has been done in other parts of the world, the spreadsheet has not been exhaustively tested world-wide.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71</xdr:row>
      <xdr:rowOff>152400</xdr:rowOff>
    </xdr:from>
    <xdr:to>
      <xdr:col>8</xdr:col>
      <xdr:colOff>209550</xdr:colOff>
      <xdr:row>84</xdr:row>
      <xdr:rowOff>76200</xdr:rowOff>
    </xdr:to>
    <xdr:sp>
      <xdr:nvSpPr>
        <xdr:cNvPr id="1" name="Text 1"/>
        <xdr:cNvSpPr txBox="1">
          <a:spLocks noChangeArrowheads="1"/>
        </xdr:cNvSpPr>
      </xdr:nvSpPr>
      <xdr:spPr>
        <a:xfrm>
          <a:off x="352425" y="1695450"/>
          <a:ext cx="6010275" cy="2028825"/>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(1) Choose the appropriate ellipsoid  on the "Ellipsoids" worksheet.
(2) Enter the station names in cells C2,G2 (documentation only).
(3) Enter the latitudes in cells (C3:E3 and G3:I3). Remember that south latitude is negative.
(4)  Enter the longitude in cells (C4:E4 and G4:I4). Remember that east longitude is positive.
To see the intermediate values, use the Excel "outlining" features:
(i) SHOW the outline symbols, and then
(ii) UNGROUP the hidden rows and columns as required.
This spreadsheet has been tested for use within the Australian region. While some testing has been done in other parts of the world, the spreadsheet has not been exhaustively tested world-wide.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H52"/>
  <sheetViews>
    <sheetView showGridLines="0" tabSelected="1" showOutlineSymbols="0" zoomScale="75" zoomScaleNormal="75" workbookViewId="0" topLeftCell="A1">
      <selection activeCell="F23" sqref="F23"/>
    </sheetView>
  </sheetViews>
  <sheetFormatPr defaultColWidth="9.140625" defaultRowHeight="12.75" outlineLevelRow="1"/>
  <cols>
    <col min="1" max="1" width="20.7109375" style="0" customWidth="1"/>
    <col min="2" max="5" width="15.7109375" style="0" customWidth="1"/>
    <col min="6" max="6" width="20.7109375" style="0" customWidth="1"/>
    <col min="7" max="7" width="15.7109375" style="0" customWidth="1"/>
    <col min="8" max="8" width="15.140625" style="0" customWidth="1"/>
    <col min="9" max="9" width="17.7109375" style="0" customWidth="1"/>
  </cols>
  <sheetData>
    <row r="1" ht="12.75" customHeight="1"/>
    <row r="3" ht="12.75">
      <c r="C3" s="50"/>
    </row>
    <row r="5" ht="12.75">
      <c r="A5" s="92">
        <v>1</v>
      </c>
    </row>
    <row r="6" ht="12.75">
      <c r="A6" s="93" t="str">
        <f>HLOOKUP(A5,A13:G17,2)</f>
        <v>GRS80</v>
      </c>
    </row>
    <row r="7" ht="12.75">
      <c r="A7" s="94">
        <f>HLOOKUP(A5,A13:G17,3)</f>
        <v>298.2572221088</v>
      </c>
    </row>
    <row r="8" ht="12.75" hidden="1" outlineLevel="1">
      <c r="A8" s="95">
        <f>HLOOKUP(A5,A13:G17,4)</f>
        <v>0.0033528106810946363</v>
      </c>
    </row>
    <row r="9" ht="12.75" collapsed="1">
      <c r="A9" s="96">
        <f>HLOOKUP(A5,A13:G17,5)</f>
        <v>6378137</v>
      </c>
    </row>
    <row r="10" spans="2:8" ht="12.75">
      <c r="B10" s="56"/>
      <c r="C10" s="56"/>
      <c r="D10" s="56"/>
      <c r="E10" s="56"/>
      <c r="F10" s="56"/>
      <c r="G10" s="57"/>
      <c r="H10" s="57"/>
    </row>
    <row r="13" spans="1:8" ht="12.75">
      <c r="A13" s="97">
        <v>1</v>
      </c>
      <c r="B13" s="97">
        <v>2</v>
      </c>
      <c r="C13" s="97">
        <v>3</v>
      </c>
      <c r="D13" s="97">
        <v>4</v>
      </c>
      <c r="E13" s="97">
        <v>5</v>
      </c>
      <c r="F13" s="97">
        <v>6</v>
      </c>
      <c r="G13" s="97">
        <v>7</v>
      </c>
      <c r="H13" s="98"/>
    </row>
    <row r="14" spans="1:8" ht="12.75">
      <c r="A14" s="99" t="s">
        <v>0</v>
      </c>
      <c r="B14" s="99" t="s">
        <v>1</v>
      </c>
      <c r="C14" s="99" t="s">
        <v>138</v>
      </c>
      <c r="D14" s="99" t="s">
        <v>2</v>
      </c>
      <c r="E14" s="99" t="s">
        <v>3</v>
      </c>
      <c r="F14" s="99" t="s">
        <v>4</v>
      </c>
      <c r="G14" s="99" t="s">
        <v>5</v>
      </c>
      <c r="H14" s="98"/>
    </row>
    <row r="15" spans="1:8" ht="15">
      <c r="A15" s="100">
        <v>298.2572221088</v>
      </c>
      <c r="B15" s="100">
        <v>298.257223563</v>
      </c>
      <c r="C15" s="100">
        <v>298.25</v>
      </c>
      <c r="D15" s="100">
        <v>298.26</v>
      </c>
      <c r="E15" s="100">
        <v>294.26</v>
      </c>
      <c r="F15" s="101">
        <v>999999999999.999</v>
      </c>
      <c r="G15" s="100">
        <v>299.1528128</v>
      </c>
      <c r="H15" s="102" t="s">
        <v>6</v>
      </c>
    </row>
    <row r="16" spans="1:8" ht="15">
      <c r="A16" s="103">
        <f>1/$A$15</f>
        <v>0.0033528106810946363</v>
      </c>
      <c r="B16" s="103">
        <f>1/$B$15</f>
        <v>0.0033528106647474805</v>
      </c>
      <c r="C16" s="103">
        <f>1/$C$15</f>
        <v>0.003352891869237217</v>
      </c>
      <c r="D16" s="103">
        <f>1/$D$15</f>
        <v>0.003352779454167505</v>
      </c>
      <c r="E16" s="103">
        <f>1/$E$15</f>
        <v>0.003398355196085095</v>
      </c>
      <c r="F16" s="103">
        <f>1/$F$15</f>
        <v>1.000000000000001E-12</v>
      </c>
      <c r="G16" s="103">
        <f>1/$G$15</f>
        <v>0.003342773182174806</v>
      </c>
      <c r="H16" s="102" t="s">
        <v>7</v>
      </c>
    </row>
    <row r="17" spans="1:8" ht="15">
      <c r="A17" s="100">
        <v>6378137</v>
      </c>
      <c r="B17" s="100">
        <v>6378137</v>
      </c>
      <c r="C17" s="100">
        <v>6378160</v>
      </c>
      <c r="D17" s="100">
        <v>6378135</v>
      </c>
      <c r="E17" s="100">
        <v>6378293.645</v>
      </c>
      <c r="F17" s="100">
        <v>6371000</v>
      </c>
      <c r="G17" s="100">
        <v>63777397.16</v>
      </c>
      <c r="H17" s="102" t="s">
        <v>8</v>
      </c>
    </row>
    <row r="25" ht="12.75">
      <c r="A25" s="31"/>
    </row>
    <row r="48" ht="12.75">
      <c r="B48" s="33"/>
    </row>
    <row r="49" ht="12.75">
      <c r="B49" s="33"/>
    </row>
    <row r="50" spans="1:2" ht="12.75">
      <c r="A50" s="33"/>
      <c r="B50" s="33"/>
    </row>
    <row r="51" ht="12.75">
      <c r="A51" s="33"/>
    </row>
    <row r="52" ht="12.75">
      <c r="A52" s="33"/>
    </row>
  </sheetData>
  <printOptions/>
  <pageMargins left="0.75" right="0.75" top="1" bottom="1" header="0.5" footer="0.5"/>
  <pageSetup horizontalDpi="180" verticalDpi="180" orientation="portrait" paperSize="9" r:id="rId4"/>
  <headerFooter alignWithMargins="0">
    <oddHeader>&amp;C&amp;F&amp;REllipsoids</oddHeader>
    <oddFooter>&amp;L&amp;D&amp;CGDA Technical Manual</oddFooter>
  </headerFooter>
  <drawing r:id="rId3"/>
  <legacyDrawing r:id="rId2"/>
</worksheet>
</file>

<file path=xl/worksheets/sheet2.xml><?xml version="1.0" encoding="utf-8"?>
<worksheet xmlns="http://schemas.openxmlformats.org/spreadsheetml/2006/main" xmlns:r="http://schemas.openxmlformats.org/officeDocument/2006/relationships">
  <dimension ref="A1:S94"/>
  <sheetViews>
    <sheetView showOutlineSymbols="0" zoomScale="90" zoomScaleNormal="90" workbookViewId="0" topLeftCell="A1">
      <selection activeCell="C1" sqref="C1"/>
    </sheetView>
  </sheetViews>
  <sheetFormatPr defaultColWidth="9.140625" defaultRowHeight="12.75" outlineLevelRow="1"/>
  <cols>
    <col min="1" max="1" width="2.57421875" style="0" customWidth="1"/>
    <col min="2" max="2" width="15.00390625" style="0" customWidth="1"/>
    <col min="3" max="3" width="19.28125" style="0" customWidth="1"/>
    <col min="4" max="4" width="4.7109375" style="0" customWidth="1"/>
    <col min="5" max="5" width="11.7109375" style="0" customWidth="1"/>
    <col min="6" max="6" width="20.140625" style="0" customWidth="1"/>
    <col min="7" max="7" width="16.28125" style="0" customWidth="1"/>
    <col min="8" max="8" width="5.57421875" style="0" customWidth="1"/>
    <col min="9" max="9" width="11.28125" style="0" customWidth="1"/>
    <col min="10" max="10" width="13.421875" style="0" customWidth="1"/>
    <col min="11" max="11" width="17.7109375" style="0" customWidth="1"/>
    <col min="12" max="12" width="15.57421875" style="0" customWidth="1"/>
    <col min="13" max="13" width="3.57421875" style="0" customWidth="1"/>
    <col min="14" max="14" width="10.421875" style="0" customWidth="1"/>
    <col min="15" max="15" width="5.28125" style="0" customWidth="1"/>
    <col min="16" max="16" width="4.140625" style="0" customWidth="1"/>
    <col min="17" max="17" width="13.421875" style="0" customWidth="1"/>
    <col min="18" max="18" width="15.7109375" style="0" customWidth="1"/>
    <col min="19" max="19" width="14.57421875" style="0" customWidth="1"/>
  </cols>
  <sheetData>
    <row r="1" spans="2:3" ht="20.25" customHeight="1">
      <c r="B1" s="11" t="s">
        <v>9</v>
      </c>
      <c r="C1" s="11" t="str">
        <f>Ellipsoids!A6</f>
        <v>GRS80</v>
      </c>
    </row>
    <row r="2" spans="2:9" ht="17.25">
      <c r="B2" s="79" t="s">
        <v>10</v>
      </c>
      <c r="C2" s="60" t="s">
        <v>11</v>
      </c>
      <c r="D2" s="60"/>
      <c r="E2" s="60"/>
      <c r="F2" s="77" t="s">
        <v>12</v>
      </c>
      <c r="G2" s="60" t="s">
        <v>13</v>
      </c>
      <c r="H2" s="64"/>
      <c r="I2" s="61"/>
    </row>
    <row r="3" spans="2:9" ht="15">
      <c r="B3" s="83" t="s">
        <v>14</v>
      </c>
      <c r="C3" s="37">
        <v>-37</v>
      </c>
      <c r="D3" s="15">
        <v>57</v>
      </c>
      <c r="E3" s="89">
        <v>3.7203</v>
      </c>
      <c r="F3" s="86" t="s">
        <v>15</v>
      </c>
      <c r="G3" s="51">
        <v>306</v>
      </c>
      <c r="H3" s="15">
        <v>52</v>
      </c>
      <c r="I3" s="72">
        <v>5.373</v>
      </c>
    </row>
    <row r="4" spans="2:9" ht="15">
      <c r="B4" s="83" t="s">
        <v>16</v>
      </c>
      <c r="C4" s="37">
        <v>144</v>
      </c>
      <c r="D4" s="15">
        <v>25</v>
      </c>
      <c r="E4" s="89">
        <v>29.5244</v>
      </c>
      <c r="F4" s="86" t="s">
        <v>17</v>
      </c>
      <c r="G4" s="52">
        <v>54972.271</v>
      </c>
      <c r="H4" s="38"/>
      <c r="I4" s="27"/>
    </row>
    <row r="5" spans="2:9" ht="12.75" hidden="1" outlineLevel="1">
      <c r="B5" s="83"/>
      <c r="C5">
        <f>TRUNC(F45)</f>
        <v>-37</v>
      </c>
      <c r="D5">
        <f>TRUNC((F45-C5)*60)</f>
        <v>-39</v>
      </c>
      <c r="E5">
        <f>((F45-C5)-D5/60)*3600</f>
        <v>-10.156104000001198</v>
      </c>
      <c r="F5" s="86"/>
      <c r="G5" s="52"/>
      <c r="H5" s="38"/>
      <c r="I5" s="27"/>
    </row>
    <row r="6" spans="2:9" ht="15" collapsed="1">
      <c r="B6" s="84" t="s">
        <v>18</v>
      </c>
      <c r="C6" s="21">
        <f>C5</f>
        <v>-37</v>
      </c>
      <c r="D6" s="17">
        <f>ABS(D5)</f>
        <v>39</v>
      </c>
      <c r="E6" s="139">
        <f>ABS(E5)</f>
        <v>10.156104000001198</v>
      </c>
      <c r="F6" s="87" t="s">
        <v>19</v>
      </c>
      <c r="G6" s="73">
        <f>TRUNC(F58)</f>
        <v>127</v>
      </c>
      <c r="H6" s="63">
        <f>TRUNC((F58-G6)*60)</f>
        <v>10</v>
      </c>
      <c r="I6" s="142">
        <f>(F58-G6-H6/60)*3600</f>
        <v>25.07013186658472</v>
      </c>
    </row>
    <row r="7" spans="2:9" ht="15">
      <c r="B7" s="85" t="s">
        <v>20</v>
      </c>
      <c r="C7" s="73">
        <f>TRUNC(F54)</f>
        <v>143</v>
      </c>
      <c r="D7" s="63">
        <f>TRUNC((F54-C7)*60)</f>
        <v>55</v>
      </c>
      <c r="E7" s="133">
        <f>(F54-C7-D7/60)*3600</f>
        <v>35.383908000039945</v>
      </c>
      <c r="I7" s="105" t="s">
        <v>21</v>
      </c>
    </row>
    <row r="8" spans="9:17" ht="12.75">
      <c r="I8" s="28" t="s">
        <v>22</v>
      </c>
      <c r="M8" s="30"/>
      <c r="O8" s="6"/>
      <c r="P8" s="6"/>
      <c r="Q8" s="9"/>
    </row>
    <row r="9" spans="2:18" ht="12.75">
      <c r="B9" s="44"/>
      <c r="C9" s="45"/>
      <c r="D9" s="45"/>
      <c r="E9" s="46"/>
      <c r="F9" s="8"/>
      <c r="G9" s="8"/>
      <c r="I9" s="29" t="s">
        <v>23</v>
      </c>
      <c r="M9" s="30"/>
      <c r="O9" s="6"/>
      <c r="P9" s="6"/>
      <c r="Q9" s="6"/>
      <c r="R9" s="6"/>
    </row>
    <row r="10" spans="2:18" ht="12.75" hidden="1" outlineLevel="1">
      <c r="B10" s="32" t="s">
        <v>8</v>
      </c>
      <c r="C10" s="41">
        <f>Ellipsoids!A9</f>
        <v>6378137</v>
      </c>
      <c r="D10" s="45"/>
      <c r="E10" s="34"/>
      <c r="F10" s="67" t="s">
        <v>24</v>
      </c>
      <c r="G10" s="67" t="s">
        <v>25</v>
      </c>
      <c r="H10" s="32"/>
      <c r="I10" s="32"/>
      <c r="M10" s="30"/>
      <c r="O10" s="6"/>
      <c r="P10" s="6"/>
      <c r="Q10" s="6"/>
      <c r="R10" s="6"/>
    </row>
    <row r="11" spans="2:18" ht="15" hidden="1" outlineLevel="1">
      <c r="B11" s="33" t="s">
        <v>26</v>
      </c>
      <c r="C11" s="41">
        <f>C10*(1-C12)</f>
        <v>6356752.314140915</v>
      </c>
      <c r="D11" s="34"/>
      <c r="E11" s="74" t="s">
        <v>27</v>
      </c>
      <c r="F11" s="35">
        <f>IF(C3&lt;0,-(ABS(C3)+D3/60+E3/3600),C3+D3/60+E3/3600)</f>
        <v>-37.95103341666667</v>
      </c>
      <c r="G11" s="35">
        <f>F11*PI()/180</f>
        <v>-0.6623704876552264</v>
      </c>
      <c r="H11" s="32"/>
      <c r="I11" s="32"/>
      <c r="K11" s="6"/>
      <c r="M11" s="30"/>
      <c r="N11" s="22"/>
      <c r="O11" s="6"/>
      <c r="P11" s="6"/>
      <c r="Q11" s="6"/>
      <c r="R11" s="6"/>
    </row>
    <row r="12" spans="2:18" ht="15" hidden="1" outlineLevel="1">
      <c r="B12" s="33" t="s">
        <v>7</v>
      </c>
      <c r="C12" s="35">
        <f>Ellipsoids!A8</f>
        <v>0.0033528106810946363</v>
      </c>
      <c r="D12" s="34"/>
      <c r="E12" s="74" t="s">
        <v>28</v>
      </c>
      <c r="F12" s="35">
        <f>IF(C4&lt;0,-(ABS(C4)+D4/60+E4/3600),C4+D4/60+E4/3600)</f>
        <v>144.42486788888888</v>
      </c>
      <c r="G12" s="35">
        <f>F12*PI()/180</f>
        <v>2.520689466418943</v>
      </c>
      <c r="H12" s="32"/>
      <c r="I12" s="32"/>
      <c r="J12" s="6"/>
      <c r="K12" s="6"/>
      <c r="L12" s="6"/>
      <c r="M12" s="30"/>
      <c r="N12" s="22"/>
      <c r="O12" s="6"/>
      <c r="P12" s="6"/>
      <c r="Q12" s="6"/>
      <c r="R12" s="6"/>
    </row>
    <row r="13" spans="2:18" ht="16.5" hidden="1" outlineLevel="1">
      <c r="B13" s="33" t="s">
        <v>29</v>
      </c>
      <c r="C13" s="35">
        <f>(C10*C10-C11*C11)/(C11*C11)</f>
        <v>0.006739496775301926</v>
      </c>
      <c r="D13" s="34"/>
      <c r="E13" s="65" t="s">
        <v>30</v>
      </c>
      <c r="F13" s="35">
        <f>ABS(G3)+H3/60+I3/3600</f>
        <v>306.86815916666666</v>
      </c>
      <c r="G13" s="35">
        <f>F13*PI()/180</f>
        <v>5.355859746992351</v>
      </c>
      <c r="H13" s="32"/>
      <c r="I13" s="32"/>
      <c r="J13" s="6"/>
      <c r="K13" s="6"/>
      <c r="L13" s="6"/>
      <c r="M13" s="30"/>
      <c r="N13" s="22"/>
      <c r="O13" s="6"/>
      <c r="P13" s="6"/>
      <c r="Q13" s="6"/>
      <c r="R13" s="6"/>
    </row>
    <row r="14" spans="8:18" ht="12.75" hidden="1" outlineLevel="1">
      <c r="H14" s="6"/>
      <c r="I14" s="6"/>
      <c r="J14" s="6"/>
      <c r="K14" s="6"/>
      <c r="L14" s="6"/>
      <c r="M14" s="30"/>
      <c r="N14" s="6"/>
      <c r="O14" s="6"/>
      <c r="P14" s="6"/>
      <c r="Q14" s="6"/>
      <c r="R14" s="6"/>
    </row>
    <row r="15" spans="2:18" ht="13.5" hidden="1" outlineLevel="1">
      <c r="B15" s="32" t="s">
        <v>31</v>
      </c>
      <c r="C15" s="35">
        <f>COS(ASIN(C22))*COS(ASIN(C22))*((C10*C10)-(C11*C11))/(C11*C11)</f>
        <v>0.004050613636039207</v>
      </c>
      <c r="E15" s="49"/>
      <c r="F15" s="35"/>
      <c r="H15" s="32"/>
      <c r="I15" s="32"/>
      <c r="J15" s="32"/>
      <c r="K15" s="32"/>
      <c r="L15" s="32"/>
      <c r="M15" s="6"/>
      <c r="N15" s="6"/>
      <c r="O15" s="6"/>
      <c r="P15" s="6"/>
      <c r="Q15" s="6"/>
      <c r="R15" s="6"/>
    </row>
    <row r="16" spans="2:18" ht="12.75" hidden="1" outlineLevel="1">
      <c r="B16" s="123" t="s">
        <v>32</v>
      </c>
      <c r="C16" s="75"/>
      <c r="H16" s="33"/>
      <c r="I16" s="33"/>
      <c r="J16" s="32"/>
      <c r="K16" s="32"/>
      <c r="L16" s="32"/>
      <c r="M16" s="6"/>
      <c r="N16" s="6"/>
      <c r="O16" s="6"/>
      <c r="P16" s="6"/>
      <c r="Q16" s="6"/>
      <c r="R16" s="6"/>
    </row>
    <row r="17" spans="2:18" ht="12.75" hidden="1" outlineLevel="1">
      <c r="B17" s="33" t="s">
        <v>33</v>
      </c>
      <c r="C17" s="35">
        <f>(1-C12)*TAN(G11)</f>
        <v>-0.7772953538496808</v>
      </c>
      <c r="H17" s="32"/>
      <c r="I17" s="32"/>
      <c r="J17" s="32"/>
      <c r="K17" s="32"/>
      <c r="L17" s="32"/>
      <c r="M17" s="6"/>
      <c r="N17" s="6"/>
      <c r="O17" s="6"/>
      <c r="P17" s="6"/>
      <c r="Q17" s="6"/>
      <c r="R17" s="6"/>
    </row>
    <row r="18" spans="2:18" ht="15.75" hidden="1" outlineLevel="1">
      <c r="B18" s="33" t="s">
        <v>34</v>
      </c>
      <c r="C18" s="35">
        <f>C17/COS(G13)</f>
        <v>-1.2955446698883062</v>
      </c>
      <c r="E18" s="32"/>
      <c r="F18" s="35"/>
      <c r="H18" s="39"/>
      <c r="I18" s="33"/>
      <c r="J18" s="32"/>
      <c r="K18" s="32"/>
      <c r="L18" s="32"/>
      <c r="M18" s="6"/>
      <c r="N18" s="6"/>
      <c r="O18" s="6"/>
      <c r="P18" s="6"/>
      <c r="Q18" s="6"/>
      <c r="R18" s="6"/>
    </row>
    <row r="19" spans="2:18" ht="12.75" hidden="1" outlineLevel="1">
      <c r="B19" s="124" t="s">
        <v>35</v>
      </c>
      <c r="C19" s="35"/>
      <c r="E19" s="32"/>
      <c r="F19" s="35"/>
      <c r="H19" s="39"/>
      <c r="I19" s="33"/>
      <c r="J19" s="32"/>
      <c r="K19" s="32"/>
      <c r="L19" s="32"/>
      <c r="M19" s="6"/>
      <c r="N19" s="6"/>
      <c r="O19" s="6"/>
      <c r="P19" s="6"/>
      <c r="Q19" s="6"/>
      <c r="R19" s="6"/>
    </row>
    <row r="20" spans="2:18" ht="12.75" hidden="1" outlineLevel="1">
      <c r="B20" s="49" t="s">
        <v>36</v>
      </c>
      <c r="C20" s="35">
        <f>SIN(ATAN(C17))</f>
        <v>-0.6137032611068924</v>
      </c>
      <c r="E20" s="32"/>
      <c r="F20" s="35"/>
      <c r="H20" s="39"/>
      <c r="I20" s="33"/>
      <c r="J20" s="32"/>
      <c r="K20" s="32"/>
      <c r="L20" s="32"/>
      <c r="M20" s="6"/>
      <c r="N20" s="6"/>
      <c r="O20" s="6"/>
      <c r="P20" s="6"/>
      <c r="Q20" s="6"/>
      <c r="R20" s="6"/>
    </row>
    <row r="21" spans="2:18" ht="12.75" hidden="1" outlineLevel="1">
      <c r="B21" t="s">
        <v>37</v>
      </c>
      <c r="C21" s="35">
        <f>COS(ATAN(C17))</f>
        <v>0.78953676754586</v>
      </c>
      <c r="E21" s="32"/>
      <c r="F21" s="35"/>
      <c r="H21" s="39"/>
      <c r="I21" s="33"/>
      <c r="J21" s="32"/>
      <c r="K21" s="32"/>
      <c r="L21" s="32"/>
      <c r="M21" s="6"/>
      <c r="N21" s="6"/>
      <c r="O21" s="6"/>
      <c r="P21" s="6"/>
      <c r="Q21" s="6"/>
      <c r="R21" s="6"/>
    </row>
    <row r="22" spans="2:18" ht="12.75" hidden="1" outlineLevel="1">
      <c r="B22" s="49" t="s">
        <v>38</v>
      </c>
      <c r="C22" s="35">
        <f>C21*SIN(G13)</f>
        <v>-0.6316437875086258</v>
      </c>
      <c r="E22" s="65"/>
      <c r="F22" s="35"/>
      <c r="H22" s="39"/>
      <c r="I22" s="33"/>
      <c r="J22" s="32"/>
      <c r="K22" s="32"/>
      <c r="L22" s="32"/>
      <c r="M22" s="6"/>
      <c r="N22" s="6"/>
      <c r="O22" s="6"/>
      <c r="P22" s="6"/>
      <c r="Q22" s="6"/>
      <c r="R22" s="6"/>
    </row>
    <row r="23" spans="2:18" ht="12.75" hidden="1" outlineLevel="1">
      <c r="B23" s="124" t="s">
        <v>39</v>
      </c>
      <c r="C23" s="35"/>
      <c r="E23" s="65"/>
      <c r="F23" s="35"/>
      <c r="H23" s="39"/>
      <c r="I23" s="33"/>
      <c r="J23" s="32"/>
      <c r="K23" s="32"/>
      <c r="L23" s="32"/>
      <c r="M23" s="6"/>
      <c r="N23" s="6"/>
      <c r="O23" s="6"/>
      <c r="P23" s="6"/>
      <c r="Q23" s="6"/>
      <c r="R23" s="6"/>
    </row>
    <row r="24" spans="2:18" ht="12.75" hidden="1" outlineLevel="1">
      <c r="B24" s="33" t="s">
        <v>40</v>
      </c>
      <c r="C24" s="35">
        <f>1+C15/16384*(4096+C15*(-768+C15*(320-175*C15)))</f>
        <v>1.0010118856039925</v>
      </c>
      <c r="I24" s="33"/>
      <c r="J24" s="32"/>
      <c r="K24" s="32"/>
      <c r="L24" s="32"/>
      <c r="M24" s="6"/>
      <c r="N24" s="6"/>
      <c r="O24" s="6"/>
      <c r="P24" s="6"/>
      <c r="Q24" s="6"/>
      <c r="R24" s="6"/>
    </row>
    <row r="25" spans="2:18" ht="12.75" hidden="1" outlineLevel="1">
      <c r="B25" s="124" t="s">
        <v>41</v>
      </c>
      <c r="C25" s="35"/>
      <c r="I25" s="33"/>
      <c r="J25" s="32"/>
      <c r="K25" s="32"/>
      <c r="L25" s="32"/>
      <c r="M25" s="6"/>
      <c r="N25" s="6"/>
      <c r="O25" s="6"/>
      <c r="P25" s="6"/>
      <c r="Q25" s="6"/>
      <c r="R25" s="6"/>
    </row>
    <row r="26" spans="2:18" ht="12.75" hidden="1" outlineLevel="1">
      <c r="B26" s="65" t="s">
        <v>42</v>
      </c>
      <c r="C26" s="35">
        <f>C15/1024*(256+C15*(-128+C15*(74-47*C15)))</f>
        <v>0.001010607265597079</v>
      </c>
      <c r="E26" s="53"/>
      <c r="F26" s="53"/>
      <c r="I26" s="33"/>
      <c r="J26" s="32"/>
      <c r="K26" s="32"/>
      <c r="L26" s="32"/>
      <c r="M26" s="6"/>
      <c r="N26" s="6"/>
      <c r="O26" s="6"/>
      <c r="P26" s="6"/>
      <c r="Q26" s="6"/>
      <c r="R26" s="6"/>
    </row>
    <row r="27" spans="2:18" ht="12.75" hidden="1" outlineLevel="1">
      <c r="B27" s="125" t="s">
        <v>43</v>
      </c>
      <c r="C27" s="35"/>
      <c r="E27" s="76"/>
      <c r="F27" s="35"/>
      <c r="I27" s="33"/>
      <c r="J27" s="32"/>
      <c r="K27" s="32"/>
      <c r="L27" s="32"/>
      <c r="M27" s="6"/>
      <c r="N27" s="6"/>
      <c r="O27" s="6"/>
      <c r="P27" s="6"/>
      <c r="Q27" s="6"/>
      <c r="R27" s="6"/>
    </row>
    <row r="28" spans="2:18" ht="15.75" hidden="1" outlineLevel="1">
      <c r="B28" s="32" t="s">
        <v>44</v>
      </c>
      <c r="C28" s="35">
        <f>2*ATAN(C18)+C39</f>
        <v>-1.8182447701986169</v>
      </c>
      <c r="E28" t="s">
        <v>45</v>
      </c>
      <c r="F28">
        <f>2*ATAN(C18)</f>
        <v>-1.8268817433882723</v>
      </c>
      <c r="I28" s="33"/>
      <c r="J28" s="32"/>
      <c r="K28" s="32"/>
      <c r="L28" s="32"/>
      <c r="M28" s="6"/>
      <c r="N28" s="6"/>
      <c r="O28" s="6"/>
      <c r="P28" s="6"/>
      <c r="Q28" s="6"/>
      <c r="R28" s="6"/>
    </row>
    <row r="29" spans="2:18" ht="12.75" hidden="1" outlineLevel="1">
      <c r="B29" s="125" t="s">
        <v>46</v>
      </c>
      <c r="C29" s="47"/>
      <c r="E29" t="s">
        <v>47</v>
      </c>
      <c r="F29">
        <f>C26*SIN(C39)</f>
        <v>8.728479337114716E-06</v>
      </c>
      <c r="I29" s="33"/>
      <c r="J29" s="32"/>
      <c r="K29" s="32"/>
      <c r="L29" s="32"/>
      <c r="M29" s="6"/>
      <c r="N29" s="6"/>
      <c r="O29" s="6"/>
      <c r="P29" s="6"/>
      <c r="Q29" s="6"/>
      <c r="R29" s="6"/>
    </row>
    <row r="30" spans="2:18" ht="15.75" hidden="1" outlineLevel="1">
      <c r="B30" s="125"/>
      <c r="C30" s="47"/>
      <c r="E30" t="s">
        <v>48</v>
      </c>
      <c r="F30">
        <f>COS(C28)</f>
        <v>-0.24493092170223452</v>
      </c>
      <c r="I30" s="33"/>
      <c r="J30" s="32"/>
      <c r="K30" s="32"/>
      <c r="L30" s="32"/>
      <c r="M30" s="6"/>
      <c r="N30" s="6"/>
      <c r="O30" s="6"/>
      <c r="P30" s="6"/>
      <c r="Q30" s="6"/>
      <c r="R30" s="6"/>
    </row>
    <row r="31" spans="2:18" ht="12.75" hidden="1" outlineLevel="1">
      <c r="B31" s="125"/>
      <c r="C31" s="47"/>
      <c r="E31" t="s">
        <v>49</v>
      </c>
      <c r="F31">
        <f>COS(C39)*(-1+2*F30*F30)</f>
        <v>-0.8799848639179375</v>
      </c>
      <c r="I31" s="33"/>
      <c r="J31" s="32"/>
      <c r="K31" s="32"/>
      <c r="L31" s="32"/>
      <c r="M31" s="6"/>
      <c r="N31" s="6"/>
      <c r="O31" s="6"/>
      <c r="P31" s="6"/>
      <c r="Q31" s="6"/>
      <c r="R31" s="6"/>
    </row>
    <row r="32" spans="2:18" ht="12.75" hidden="1" outlineLevel="1">
      <c r="B32" s="125"/>
      <c r="C32" s="47"/>
      <c r="I32" s="33"/>
      <c r="J32" s="32"/>
      <c r="K32" s="32"/>
      <c r="L32" s="32"/>
      <c r="M32" s="6"/>
      <c r="N32" s="6"/>
      <c r="O32" s="6"/>
      <c r="P32" s="6"/>
      <c r="Q32" s="6"/>
      <c r="R32" s="6"/>
    </row>
    <row r="33" spans="2:18" ht="12.75" hidden="1" outlineLevel="1">
      <c r="B33" s="125"/>
      <c r="C33" s="47"/>
      <c r="E33" t="s">
        <v>50</v>
      </c>
      <c r="F33">
        <f>-3+4*SIN(C39)*SIN(C39)</f>
        <v>-2.9997016181960885</v>
      </c>
      <c r="I33" s="33"/>
      <c r="J33" s="32"/>
      <c r="K33" s="32"/>
      <c r="L33" s="32"/>
      <c r="M33" s="6"/>
      <c r="N33" s="6"/>
      <c r="O33" s="6"/>
      <c r="P33" s="6"/>
      <c r="Q33" s="6"/>
      <c r="R33" s="6"/>
    </row>
    <row r="34" spans="2:18" ht="12.75" hidden="1" outlineLevel="1">
      <c r="B34" s="125"/>
      <c r="C34" s="47"/>
      <c r="E34" t="s">
        <v>51</v>
      </c>
      <c r="F34">
        <f>-3+4*F30*F30</f>
        <v>-2.7600353743763755</v>
      </c>
      <c r="I34" s="33"/>
      <c r="J34" s="32"/>
      <c r="K34" s="32"/>
      <c r="L34" s="32"/>
      <c r="M34" s="6"/>
      <c r="N34" s="6"/>
      <c r="O34" s="6"/>
      <c r="P34" s="6"/>
      <c r="Q34" s="6"/>
      <c r="R34" s="6"/>
    </row>
    <row r="35" spans="2:18" ht="12.75" hidden="1" outlineLevel="1">
      <c r="B35" s="125"/>
      <c r="C35" s="47"/>
      <c r="I35" s="33"/>
      <c r="J35" s="32"/>
      <c r="K35" s="32"/>
      <c r="L35" s="32"/>
      <c r="M35" s="6"/>
      <c r="N35" s="6"/>
      <c r="O35" s="6"/>
      <c r="P35" s="6"/>
      <c r="Q35" s="6"/>
      <c r="R35" s="6"/>
    </row>
    <row r="36" spans="2:18" ht="12.75" hidden="1" outlineLevel="1">
      <c r="B36" s="125"/>
      <c r="C36" s="47"/>
      <c r="I36" s="33"/>
      <c r="J36" s="32"/>
      <c r="K36" s="32"/>
      <c r="L36" s="32"/>
      <c r="M36" s="6"/>
      <c r="N36" s="6"/>
      <c r="O36" s="6"/>
      <c r="P36" s="6"/>
      <c r="Q36" s="6"/>
      <c r="R36" s="6"/>
    </row>
    <row r="37" spans="2:18" ht="12.75" hidden="1" outlineLevel="1">
      <c r="B37" s="65" t="s">
        <v>52</v>
      </c>
      <c r="C37" s="131">
        <f>C26*SIN(C39)*(COS(C28)+(1/4)*C26*(COS(C39)*(-1+2*COS(C28)*COS(C28))-(1/6)*C26*COS(C28)*(-3+4*SIN(C39)*SIN(C39))*(-3+4*COS(C28)*COS(C28))))</f>
        <v>-2.1398143367076335E-06</v>
      </c>
      <c r="E37" s="65" t="s">
        <v>52</v>
      </c>
      <c r="F37" s="132">
        <f>F29*(F30+C26/4*(F31-C26/6*F30*F33*F34))</f>
        <v>-2.1398143367076335E-06</v>
      </c>
      <c r="I37" s="33"/>
      <c r="J37" s="32"/>
      <c r="K37" s="32"/>
      <c r="L37" s="32"/>
      <c r="M37" s="6"/>
      <c r="N37" s="6"/>
      <c r="O37" s="6"/>
      <c r="P37" s="6"/>
      <c r="Q37" s="6"/>
      <c r="R37" s="6"/>
    </row>
    <row r="38" spans="2:18" ht="12.75" hidden="1" outlineLevel="1">
      <c r="B38" s="124" t="s">
        <v>53</v>
      </c>
      <c r="C38" s="35"/>
      <c r="E38" s="32"/>
      <c r="F38" s="35"/>
      <c r="H38" s="42"/>
      <c r="I38" s="33"/>
      <c r="J38" s="32"/>
      <c r="K38" s="32"/>
      <c r="L38" s="32"/>
      <c r="M38" s="6"/>
      <c r="N38" s="6"/>
      <c r="O38" s="6"/>
      <c r="P38" s="6"/>
      <c r="Q38" s="6"/>
      <c r="R38" s="6"/>
    </row>
    <row r="39" spans="2:18" ht="12.75" hidden="1" outlineLevel="1">
      <c r="B39" s="141" t="s">
        <v>54</v>
      </c>
      <c r="C39" s="35">
        <f>G4/(C11*C24)+F37</f>
        <v>0.008636973189655478</v>
      </c>
      <c r="E39" s="128" t="s">
        <v>55</v>
      </c>
      <c r="F39" s="35">
        <f>G4/(C11*C24)</f>
        <v>0.008639113003992185</v>
      </c>
      <c r="G39" s="42"/>
      <c r="H39" s="42"/>
      <c r="I39" s="33"/>
      <c r="J39" s="32"/>
      <c r="K39" s="32"/>
      <c r="L39" s="32"/>
      <c r="M39" s="6"/>
      <c r="N39" s="6"/>
      <c r="O39" s="6"/>
      <c r="P39" s="6"/>
      <c r="Q39" s="6"/>
      <c r="R39" s="6"/>
    </row>
    <row r="40" spans="2:18" ht="12.75" hidden="1" outlineLevel="1">
      <c r="B40" s="124" t="s">
        <v>56</v>
      </c>
      <c r="C40" s="35"/>
      <c r="E40" s="32"/>
      <c r="F40" s="35"/>
      <c r="J40" s="32"/>
      <c r="K40" s="32"/>
      <c r="L40" s="32"/>
      <c r="M40" s="6"/>
      <c r="N40" s="6"/>
      <c r="O40" s="6"/>
      <c r="P40" s="6"/>
      <c r="Q40" s="6"/>
      <c r="R40" s="6"/>
    </row>
    <row r="41" spans="2:18" ht="12.75" hidden="1" outlineLevel="1">
      <c r="B41" s="126" t="s">
        <v>57</v>
      </c>
      <c r="C41" s="35">
        <f>SIN(ATAN(C17))*COS(C39)+COS(ATAN(C17))*SIN(C39)*COS(G13)</f>
        <v>-0.6095890626049468</v>
      </c>
      <c r="E41" s="32"/>
      <c r="F41" s="35"/>
      <c r="J41" s="32"/>
      <c r="K41" s="32"/>
      <c r="L41" s="32"/>
      <c r="M41" s="6"/>
      <c r="N41" s="6"/>
      <c r="O41" s="6"/>
      <c r="P41" s="6"/>
      <c r="Q41" s="6"/>
      <c r="R41" s="6"/>
    </row>
    <row r="42" spans="2:18" ht="12.75" hidden="1" outlineLevel="1">
      <c r="B42" s="128" t="s">
        <v>58</v>
      </c>
      <c r="C42" s="127">
        <f>(1-C12)*SQRT(C22*C22+(SIN(ATAN(C17))*SIN(C39)-COS(ATAN(C17))*COS(C39)*COS(G13))*(SIN(ATAN(C17))*SIN(C39)-COS(ATAN(C17))*COS(C39)*COS(G13)))</f>
        <v>0.7900597562728418</v>
      </c>
      <c r="E42" s="65"/>
      <c r="F42" s="35"/>
      <c r="J42" s="32"/>
      <c r="K42" s="32"/>
      <c r="L42" s="32"/>
      <c r="M42" s="6"/>
      <c r="N42" s="6"/>
      <c r="O42" s="6"/>
      <c r="P42" s="6"/>
      <c r="Q42" s="6"/>
      <c r="R42" s="6"/>
    </row>
    <row r="43" spans="2:18" ht="15.75" hidden="1" outlineLevel="1">
      <c r="B43" s="128" t="s">
        <v>59</v>
      </c>
      <c r="C43" s="35">
        <f>C41/C42</f>
        <v>-0.7715733623501124</v>
      </c>
      <c r="E43" s="66" t="s">
        <v>60</v>
      </c>
      <c r="F43" s="35">
        <f>ATAN2(C42,C41)</f>
        <v>-0.6571657015556372</v>
      </c>
      <c r="J43" s="32"/>
      <c r="K43" s="32"/>
      <c r="L43" s="32"/>
      <c r="M43" s="6"/>
      <c r="N43" s="6"/>
      <c r="O43" s="6"/>
      <c r="P43" s="6"/>
      <c r="Q43" s="6"/>
      <c r="R43" s="6"/>
    </row>
    <row r="44" spans="2:18" ht="15.75" hidden="1" outlineLevel="1">
      <c r="B44" s="76" t="s">
        <v>61</v>
      </c>
      <c r="C44">
        <f>ATAN(C43)</f>
        <v>-0.6571657015556372</v>
      </c>
      <c r="E44" s="104"/>
      <c r="F44" s="88"/>
      <c r="J44" s="32"/>
      <c r="K44" s="32"/>
      <c r="L44" s="32"/>
      <c r="M44" s="26"/>
      <c r="N44" s="6"/>
      <c r="O44" s="6"/>
      <c r="P44" s="6"/>
      <c r="Q44" s="6"/>
      <c r="R44" s="6"/>
    </row>
    <row r="45" spans="2:18" ht="15.75" hidden="1" outlineLevel="1">
      <c r="B45" s="76" t="s">
        <v>62</v>
      </c>
      <c r="C45" s="129">
        <f>C44*180/PI()</f>
        <v>-37.652821139891856</v>
      </c>
      <c r="E45" s="104"/>
      <c r="F45" s="129">
        <f>ROUND(F43*180/PI(),8)</f>
        <v>-37.65282114</v>
      </c>
      <c r="J45" s="32"/>
      <c r="K45" s="32"/>
      <c r="L45" s="32"/>
      <c r="M45" s="26"/>
      <c r="N45" s="6"/>
      <c r="O45" s="6"/>
      <c r="P45" s="6"/>
      <c r="Q45" s="6"/>
      <c r="R45" s="6"/>
    </row>
    <row r="46" spans="2:18" ht="12.75" hidden="1" outlineLevel="1">
      <c r="B46" s="130" t="s">
        <v>63</v>
      </c>
      <c r="C46" s="129"/>
      <c r="E46" s="104"/>
      <c r="F46" s="88"/>
      <c r="J46" s="32"/>
      <c r="K46" s="32"/>
      <c r="L46" s="32"/>
      <c r="M46" s="26"/>
      <c r="N46" s="6"/>
      <c r="O46" s="6"/>
      <c r="P46" s="6"/>
      <c r="Q46" s="6"/>
      <c r="R46" s="6"/>
    </row>
    <row r="47" spans="2:18" ht="12.75" hidden="1" outlineLevel="1">
      <c r="B47" t="s">
        <v>64</v>
      </c>
      <c r="C47">
        <f>SIN(C39)*SIN(G13)/(C21*COS(C39)-SIN(ATAN(C17))*SIN(C39)*COS(G13))</f>
        <v>-0.008716739075664089</v>
      </c>
      <c r="E47" s="104"/>
      <c r="F47" s="88"/>
      <c r="J47" s="32"/>
      <c r="K47" s="32"/>
      <c r="L47" s="32"/>
      <c r="M47" s="26"/>
      <c r="N47" s="6"/>
      <c r="O47" s="6"/>
      <c r="P47" s="6"/>
      <c r="Q47" s="6"/>
      <c r="R47" s="6"/>
    </row>
    <row r="48" spans="2:18" ht="12.75" hidden="1" outlineLevel="1">
      <c r="B48" s="76" t="s">
        <v>65</v>
      </c>
      <c r="C48">
        <f>ATAN2((C21*COS(C39)-SIN(ATAN(C17))*SIN(C39)*COS(G13)),SIN(C39)*SIN(G13))</f>
        <v>-0.008716518315308317</v>
      </c>
      <c r="E48" s="104"/>
      <c r="F48" s="88"/>
      <c r="J48" s="32"/>
      <c r="K48" s="32"/>
      <c r="L48" s="32"/>
      <c r="M48" s="26"/>
      <c r="N48" s="6"/>
      <c r="O48" s="6"/>
      <c r="P48" s="6"/>
      <c r="Q48" s="6"/>
      <c r="R48" s="6"/>
    </row>
    <row r="49" spans="2:18" ht="12.75" hidden="1" outlineLevel="1">
      <c r="B49" s="130" t="s">
        <v>66</v>
      </c>
      <c r="C49" s="129"/>
      <c r="E49" s="104"/>
      <c r="F49" s="88"/>
      <c r="J49" s="32"/>
      <c r="K49" s="32"/>
      <c r="L49" s="32"/>
      <c r="M49" s="26"/>
      <c r="N49" s="6"/>
      <c r="O49" s="6"/>
      <c r="P49" s="6"/>
      <c r="Q49" s="6"/>
      <c r="R49" s="6"/>
    </row>
    <row r="50" spans="2:18" ht="12.75" hidden="1" outlineLevel="1">
      <c r="B50" t="s">
        <v>67</v>
      </c>
      <c r="C50" s="129">
        <f>C12/16*COS(ASIN(C22))*COS(ASIN(C22))*(4+C12*(4-3*COS(ASIN(C22))*COS(ASIN(C22))))</f>
        <v>0.0005047094001295253</v>
      </c>
      <c r="E50" s="104"/>
      <c r="F50" s="88"/>
      <c r="J50" s="32"/>
      <c r="K50" s="32"/>
      <c r="L50" s="32"/>
      <c r="M50" s="26"/>
      <c r="N50" s="6"/>
      <c r="O50" s="6"/>
      <c r="P50" s="6"/>
      <c r="Q50" s="6"/>
      <c r="R50" s="6"/>
    </row>
    <row r="51" spans="2:18" ht="12.75" hidden="1" outlineLevel="1">
      <c r="B51" s="130" t="s">
        <v>68</v>
      </c>
      <c r="C51" s="129"/>
      <c r="E51" s="104"/>
      <c r="F51" s="88"/>
      <c r="J51" s="32"/>
      <c r="K51" s="32"/>
      <c r="L51" s="32"/>
      <c r="M51" s="26"/>
      <c r="N51" s="6"/>
      <c r="O51" s="6"/>
      <c r="P51" s="6"/>
      <c r="Q51" s="6"/>
      <c r="R51" s="6"/>
    </row>
    <row r="52" spans="2:18" ht="12.75" hidden="1" outlineLevel="1">
      <c r="B52" t="s">
        <v>69</v>
      </c>
      <c r="C52" s="129">
        <f>C48-(1-C50)*C12*C22*(C39+C50*SIN(C39)*(COS(C28)+C50*COS(C39)*(-1+2*COS(C28)*COS(C28))))</f>
        <v>-0.008698238584454501</v>
      </c>
      <c r="E52" s="104"/>
      <c r="F52" s="88"/>
      <c r="J52" s="32"/>
      <c r="K52" s="32"/>
      <c r="L52" s="32"/>
      <c r="M52" s="26"/>
      <c r="N52" s="6"/>
      <c r="O52" s="6"/>
      <c r="P52" s="6"/>
      <c r="Q52" s="6"/>
      <c r="R52" s="6"/>
    </row>
    <row r="53" spans="2:18" ht="15" hidden="1" outlineLevel="1">
      <c r="B53" s="76" t="s">
        <v>70</v>
      </c>
      <c r="C53" s="129">
        <f>G12+C52</f>
        <v>2.5119912278344887</v>
      </c>
      <c r="E53" s="104"/>
      <c r="F53" s="88"/>
      <c r="J53" s="32"/>
      <c r="K53" s="32"/>
      <c r="L53" s="32"/>
      <c r="M53" s="26"/>
      <c r="N53" s="6"/>
      <c r="O53" s="6"/>
      <c r="P53" s="6"/>
      <c r="Q53" s="6"/>
      <c r="R53" s="6"/>
    </row>
    <row r="54" spans="2:18" ht="15" hidden="1" outlineLevel="1">
      <c r="B54" s="76" t="s">
        <v>71</v>
      </c>
      <c r="C54" s="129">
        <f>IF(C53&lt;0,C53*180/PI()+180,C53*180/PI())</f>
        <v>143.9264955288018</v>
      </c>
      <c r="E54" s="104"/>
      <c r="F54" s="88">
        <f>ROUND(C53*180/PI(),8)</f>
        <v>143.92649553</v>
      </c>
      <c r="J54" s="32"/>
      <c r="K54" s="32"/>
      <c r="L54" s="32"/>
      <c r="M54" s="26"/>
      <c r="N54" s="6"/>
      <c r="O54" s="6"/>
      <c r="P54" s="6"/>
      <c r="Q54" s="6"/>
      <c r="R54" s="6"/>
    </row>
    <row r="55" spans="2:18" ht="12.75" hidden="1" outlineLevel="1">
      <c r="B55" s="130" t="s">
        <v>72</v>
      </c>
      <c r="C55" s="129"/>
      <c r="E55" s="104"/>
      <c r="F55" s="88"/>
      <c r="J55" s="32"/>
      <c r="K55" s="32"/>
      <c r="L55" s="32"/>
      <c r="M55" s="26"/>
      <c r="N55" s="6"/>
      <c r="O55" s="6"/>
      <c r="P55" s="6"/>
      <c r="Q55" s="6"/>
      <c r="R55" s="6"/>
    </row>
    <row r="56" spans="2:18" ht="15.75" hidden="1" outlineLevel="1">
      <c r="B56" t="s">
        <v>73</v>
      </c>
      <c r="C56" s="129">
        <f>C22/(-SIN(ATAN(C17))*SIN(C39)+C21*COS(C39)*COS(G13))</f>
        <v>-1.3187111598338956</v>
      </c>
      <c r="E56" s="104"/>
      <c r="J56" s="32"/>
      <c r="K56" s="32"/>
      <c r="L56" s="32"/>
      <c r="M56" s="26"/>
      <c r="N56" s="6"/>
      <c r="O56" s="6"/>
      <c r="P56" s="6"/>
      <c r="Q56" s="6"/>
      <c r="R56" s="6"/>
    </row>
    <row r="57" spans="2:18" ht="15.75" hidden="1" outlineLevel="1">
      <c r="B57" s="76" t="s">
        <v>74</v>
      </c>
      <c r="C57" s="129">
        <f>ATAN(C56)</f>
        <v>-0.9219940780411762</v>
      </c>
      <c r="E57" s="104"/>
      <c r="F57" s="88">
        <f>ATAN2((-C20*SIN(C39)+C21*COS(C39)*COS(G13)),C22)</f>
        <v>-0.9219940780411762</v>
      </c>
      <c r="J57" s="32"/>
      <c r="K57" s="32"/>
      <c r="L57" s="32"/>
      <c r="M57" s="26"/>
      <c r="N57" s="6"/>
      <c r="O57" s="6"/>
      <c r="P57" s="6"/>
      <c r="Q57" s="6"/>
      <c r="R57" s="6"/>
    </row>
    <row r="58" spans="2:18" ht="15.75" hidden="1" outlineLevel="1">
      <c r="B58" s="76" t="s">
        <v>75</v>
      </c>
      <c r="C58" s="129">
        <f>C57*180/PI()+180</f>
        <v>127.17363059218516</v>
      </c>
      <c r="E58" s="104"/>
      <c r="F58" s="88">
        <f>F57*180/PI()+180</f>
        <v>127.17363059218516</v>
      </c>
      <c r="J58" s="32"/>
      <c r="K58" s="32"/>
      <c r="L58" s="32"/>
      <c r="M58" s="26"/>
      <c r="N58" s="6"/>
      <c r="O58" s="6"/>
      <c r="P58" s="6"/>
      <c r="Q58" s="6"/>
      <c r="R58" s="6"/>
    </row>
    <row r="59" spans="3:18" ht="12.75" collapsed="1">
      <c r="C59" s="129"/>
      <c r="E59" s="104"/>
      <c r="F59" s="88"/>
      <c r="J59" s="32"/>
      <c r="K59" s="32"/>
      <c r="L59" s="32"/>
      <c r="M59" s="26"/>
      <c r="N59" s="6"/>
      <c r="O59" s="6"/>
      <c r="P59" s="6"/>
      <c r="Q59" s="6"/>
      <c r="R59" s="6"/>
    </row>
    <row r="60" spans="3:18" ht="12.75">
      <c r="C60" s="129"/>
      <c r="E60" s="104"/>
      <c r="F60" s="88"/>
      <c r="J60" s="32"/>
      <c r="K60" s="32"/>
      <c r="L60" s="32"/>
      <c r="M60" s="26"/>
      <c r="N60" s="6"/>
      <c r="O60" s="6"/>
      <c r="P60" s="6"/>
      <c r="Q60" s="6"/>
      <c r="R60" s="6"/>
    </row>
    <row r="61" spans="5:18" ht="12.75">
      <c r="E61" s="104"/>
      <c r="F61" s="88"/>
      <c r="J61" s="32"/>
      <c r="K61" s="32"/>
      <c r="L61" s="32"/>
      <c r="M61" s="26"/>
      <c r="N61" s="6"/>
      <c r="O61" s="6"/>
      <c r="P61" s="6"/>
      <c r="Q61" s="6"/>
      <c r="R61" s="6"/>
    </row>
    <row r="62" spans="5:18" ht="12.75">
      <c r="E62" s="104"/>
      <c r="F62" s="88"/>
      <c r="J62" s="32"/>
      <c r="K62" s="32"/>
      <c r="L62" s="32"/>
      <c r="M62" s="26"/>
      <c r="N62" s="6"/>
      <c r="O62" s="6"/>
      <c r="P62" s="6"/>
      <c r="Q62" s="6"/>
      <c r="R62" s="6"/>
    </row>
    <row r="63" spans="10:18" ht="12.75">
      <c r="J63" s="32"/>
      <c r="K63" s="32"/>
      <c r="L63" s="32"/>
      <c r="M63" s="26"/>
      <c r="N63" s="6"/>
      <c r="O63" s="6"/>
      <c r="P63" s="6"/>
      <c r="Q63" s="6"/>
      <c r="R63" s="6"/>
    </row>
    <row r="64" spans="10:18" ht="12.75">
      <c r="J64" s="32"/>
      <c r="K64" s="32"/>
      <c r="L64" s="32"/>
      <c r="M64" s="26"/>
      <c r="N64" s="6"/>
      <c r="O64" s="6"/>
      <c r="P64" s="6"/>
      <c r="Q64" s="6"/>
      <c r="R64" s="6"/>
    </row>
    <row r="65" spans="10:18" ht="12.75">
      <c r="J65" s="32"/>
      <c r="K65" s="32"/>
      <c r="L65" s="32"/>
      <c r="M65" s="6"/>
      <c r="N65" s="6"/>
      <c r="O65" s="6"/>
      <c r="P65" s="6"/>
      <c r="Q65" s="6"/>
      <c r="R65" s="6"/>
    </row>
    <row r="66" spans="10:18" ht="12.75">
      <c r="J66" s="32"/>
      <c r="K66" s="32"/>
      <c r="L66" s="32"/>
      <c r="M66" s="6"/>
      <c r="N66" s="6"/>
      <c r="O66" s="6"/>
      <c r="P66" s="6"/>
      <c r="Q66" s="6"/>
      <c r="R66" s="6"/>
    </row>
    <row r="67" spans="10:19" ht="12.75">
      <c r="J67" s="32"/>
      <c r="K67" s="32"/>
      <c r="L67" s="32"/>
      <c r="M67" s="6"/>
      <c r="N67" s="6"/>
      <c r="O67" s="6"/>
      <c r="P67" s="6"/>
      <c r="Q67" s="68"/>
      <c r="R67" s="68"/>
      <c r="S67" s="13"/>
    </row>
    <row r="68" spans="10:19" ht="12.75">
      <c r="J68" s="32"/>
      <c r="K68" s="32"/>
      <c r="L68" s="32"/>
      <c r="M68" s="6"/>
      <c r="N68" s="6"/>
      <c r="O68" s="25"/>
      <c r="P68" s="19"/>
      <c r="Q68" s="24"/>
      <c r="R68" s="23"/>
      <c r="S68" s="26"/>
    </row>
    <row r="69" spans="10:19" ht="12.75">
      <c r="J69" s="32"/>
      <c r="K69" s="32"/>
      <c r="L69" s="32"/>
      <c r="M69" s="6"/>
      <c r="N69" s="6"/>
      <c r="O69" s="25"/>
      <c r="P69" s="19"/>
      <c r="Q69" s="24"/>
      <c r="R69" s="23"/>
      <c r="S69" s="26"/>
    </row>
    <row r="70" spans="10:19" ht="12.75">
      <c r="J70" s="32"/>
      <c r="K70" s="32"/>
      <c r="L70" s="32"/>
      <c r="M70" s="6"/>
      <c r="N70" s="6"/>
      <c r="O70" s="25"/>
      <c r="P70" s="19"/>
      <c r="Q70" s="24"/>
      <c r="R70" s="23"/>
      <c r="S70" s="26"/>
    </row>
    <row r="71" spans="10:19" ht="12.75">
      <c r="J71" s="32"/>
      <c r="K71" s="32"/>
      <c r="L71" s="32"/>
      <c r="M71" s="6"/>
      <c r="N71" s="6"/>
      <c r="O71" s="25"/>
      <c r="P71" s="19"/>
      <c r="Q71" s="24"/>
      <c r="R71" s="23"/>
      <c r="S71" s="26"/>
    </row>
    <row r="72" spans="2:18" ht="12.75">
      <c r="B72" s="32"/>
      <c r="C72" s="33"/>
      <c r="E72" s="33"/>
      <c r="F72" s="33"/>
      <c r="Q72" s="6"/>
      <c r="R72" s="6"/>
    </row>
    <row r="73" spans="2:18" ht="12.75">
      <c r="B73" s="32"/>
      <c r="C73" s="33"/>
      <c r="E73" s="40"/>
      <c r="F73" s="41"/>
      <c r="Q73" s="6"/>
      <c r="R73" s="6"/>
    </row>
    <row r="74" spans="2:18" ht="12.75">
      <c r="B74" s="36"/>
      <c r="C74" s="42"/>
      <c r="E74" s="42"/>
      <c r="Q74" s="6"/>
      <c r="R74" s="6"/>
    </row>
    <row r="75" spans="17:18" ht="12.75">
      <c r="Q75" s="6"/>
      <c r="R75" s="6"/>
    </row>
    <row r="76" spans="17:18" ht="12.75">
      <c r="Q76" s="6"/>
      <c r="R76" s="6"/>
    </row>
    <row r="77" spans="1:18" ht="12.75">
      <c r="A77" s="6"/>
      <c r="B77" s="48"/>
      <c r="C77" s="6"/>
      <c r="D77" s="6"/>
      <c r="E77" s="43"/>
      <c r="F77" s="6"/>
      <c r="G77" s="6"/>
      <c r="H77" s="6"/>
      <c r="I77" s="6"/>
      <c r="J77" s="6"/>
      <c r="Q77" s="6"/>
      <c r="R77" s="6"/>
    </row>
    <row r="78" spans="1:18" ht="12.75">
      <c r="A78" s="6"/>
      <c r="B78" s="6"/>
      <c r="C78" s="6"/>
      <c r="D78" s="6"/>
      <c r="E78" s="6"/>
      <c r="F78" s="6"/>
      <c r="G78" s="6"/>
      <c r="H78" s="6"/>
      <c r="I78" s="6"/>
      <c r="J78" s="6"/>
      <c r="Q78" s="6"/>
      <c r="R78" s="6"/>
    </row>
    <row r="79" spans="17:18" ht="12.75">
      <c r="Q79" s="6"/>
      <c r="R79" s="6"/>
    </row>
    <row r="80" spans="17:18" ht="12.75">
      <c r="Q80" s="6"/>
      <c r="R80" s="6"/>
    </row>
    <row r="81" spans="17:18" ht="12.75">
      <c r="Q81" s="6"/>
      <c r="R81" s="6"/>
    </row>
    <row r="82" spans="17:18" ht="12.75">
      <c r="Q82" s="6"/>
      <c r="R82" s="6"/>
    </row>
    <row r="83" spans="17:18" ht="12.75">
      <c r="Q83" s="6"/>
      <c r="R83" s="6"/>
    </row>
    <row r="84" spans="17:18" ht="12.75">
      <c r="Q84" s="6"/>
      <c r="R84" s="6"/>
    </row>
    <row r="85" spans="17:18" ht="12.75">
      <c r="Q85" s="6"/>
      <c r="R85" s="6"/>
    </row>
    <row r="86" spans="17:18" ht="12.75">
      <c r="Q86" s="6"/>
      <c r="R86" s="6"/>
    </row>
    <row r="87" spans="17:18" ht="12.75">
      <c r="Q87" s="6"/>
      <c r="R87" s="6"/>
    </row>
    <row r="88" spans="17:18" ht="12.75">
      <c r="Q88" s="6"/>
      <c r="R88" s="6"/>
    </row>
    <row r="89" spans="17:18" ht="12.75">
      <c r="Q89" s="6"/>
      <c r="R89" s="6"/>
    </row>
    <row r="90" spans="17:18" ht="12.75">
      <c r="Q90" s="6"/>
      <c r="R90" s="6"/>
    </row>
    <row r="91" spans="17:18" ht="12.75">
      <c r="Q91" s="6"/>
      <c r="R91" s="6"/>
    </row>
    <row r="92" spans="17:18" ht="12.75">
      <c r="Q92" s="6"/>
      <c r="R92" s="6"/>
    </row>
    <row r="93" spans="17:18" ht="12.75">
      <c r="Q93" s="6"/>
      <c r="R93" s="6"/>
    </row>
    <row r="94" spans="17:18" ht="12.75">
      <c r="Q94" s="6"/>
      <c r="R94" s="6"/>
    </row>
  </sheetData>
  <printOptions gridLines="1"/>
  <pageMargins left="0.75" right="0.75" top="1" bottom="1" header="0.5" footer="0.5"/>
  <pageSetup horizontalDpi="180" verticalDpi="180" orientation="portrait" paperSize="9" scale="70" r:id="rId5"/>
  <headerFooter alignWithMargins="0">
    <oddHeader>&amp;C&amp;F&amp;RDirect Solution</oddHeader>
    <oddFooter>&amp;L&amp;D&amp;CGDA Technical Manual</oddFooter>
  </headerFooter>
  <drawing r:id="rId4"/>
  <legacyDrawing r:id="rId3"/>
  <oleObjects>
    <oleObject progId="Equation.3" shapeId="42827998" r:id="rId1"/>
    <oleObject progId="Equation.3" shapeId="43074745" r:id="rId2"/>
  </oleObjects>
</worksheet>
</file>

<file path=xl/worksheets/sheet3.xml><?xml version="1.0" encoding="utf-8"?>
<worksheet xmlns="http://schemas.openxmlformats.org/spreadsheetml/2006/main" xmlns:r="http://schemas.openxmlformats.org/officeDocument/2006/relationships">
  <dimension ref="B1:M71"/>
  <sheetViews>
    <sheetView showOutlineSymbols="0" zoomScale="90" zoomScaleNormal="90" workbookViewId="0" topLeftCell="A1">
      <selection activeCell="I82" sqref="I82"/>
    </sheetView>
  </sheetViews>
  <sheetFormatPr defaultColWidth="9.140625" defaultRowHeight="12.75" outlineLevelRow="1"/>
  <cols>
    <col min="1" max="1" width="2.140625" style="6" customWidth="1"/>
    <col min="2" max="2" width="19.00390625" style="6" customWidth="1"/>
    <col min="3" max="3" width="19.7109375" style="6" customWidth="1"/>
    <col min="4" max="4" width="4.421875" style="6" customWidth="1"/>
    <col min="5" max="5" width="19.57421875" style="6" customWidth="1"/>
    <col min="6" max="6" width="17.57421875" style="6" customWidth="1"/>
    <col min="7" max="7" width="6.28125" style="6" customWidth="1"/>
    <col min="8" max="8" width="3.57421875" style="6" customWidth="1"/>
    <col min="9" max="9" width="18.28125" style="6" customWidth="1"/>
    <col min="10" max="10" width="19.421875" style="0" customWidth="1"/>
    <col min="11" max="11" width="17.8515625" style="0" customWidth="1"/>
    <col min="13" max="13" width="16.28125" style="0" customWidth="1"/>
  </cols>
  <sheetData>
    <row r="1" spans="2:3" ht="18.75" customHeight="1">
      <c r="B1" s="11" t="s">
        <v>9</v>
      </c>
      <c r="C1" s="11" t="str">
        <f>Ellipsoids!A6</f>
        <v>GRS80</v>
      </c>
    </row>
    <row r="2" spans="2:11" ht="17.25">
      <c r="B2" s="79" t="s">
        <v>10</v>
      </c>
      <c r="C2" s="60" t="s">
        <v>11</v>
      </c>
      <c r="D2" s="60"/>
      <c r="E2" s="60"/>
      <c r="F2" s="77" t="s">
        <v>12</v>
      </c>
      <c r="G2" s="60" t="s">
        <v>13</v>
      </c>
      <c r="H2" s="64"/>
      <c r="I2" s="61"/>
      <c r="J2" s="2"/>
      <c r="K2" s="2"/>
    </row>
    <row r="3" spans="2:11" ht="15">
      <c r="B3" s="80" t="s">
        <v>76</v>
      </c>
      <c r="C3" s="14">
        <v>-37</v>
      </c>
      <c r="D3" s="15">
        <v>57</v>
      </c>
      <c r="E3" s="89">
        <v>3.7203</v>
      </c>
      <c r="F3" s="78" t="s">
        <v>77</v>
      </c>
      <c r="G3" s="14">
        <v>-37</v>
      </c>
      <c r="H3" s="15">
        <v>39</v>
      </c>
      <c r="I3" s="90">
        <v>10.1561</v>
      </c>
      <c r="J3" s="32"/>
      <c r="K3" s="1"/>
    </row>
    <row r="4" spans="2:9" ht="15">
      <c r="B4" s="80" t="s">
        <v>78</v>
      </c>
      <c r="C4" s="14">
        <v>144</v>
      </c>
      <c r="D4" s="15">
        <v>25</v>
      </c>
      <c r="E4" s="89">
        <v>29.5244</v>
      </c>
      <c r="F4" s="78" t="s">
        <v>79</v>
      </c>
      <c r="G4" s="14">
        <v>143</v>
      </c>
      <c r="H4" s="15">
        <v>55</v>
      </c>
      <c r="I4" s="90">
        <v>35.3839</v>
      </c>
    </row>
    <row r="5" spans="2:10" ht="12.75">
      <c r="B5" s="81" t="s">
        <v>80</v>
      </c>
      <c r="C5" s="143">
        <f>E54</f>
        <v>54972.27113926591</v>
      </c>
      <c r="D5" s="10"/>
      <c r="E5" s="10"/>
      <c r="F5" s="12"/>
      <c r="G5" s="4"/>
      <c r="H5" s="4"/>
      <c r="I5" s="106" t="s">
        <v>81</v>
      </c>
      <c r="J5" s="6"/>
    </row>
    <row r="6" spans="2:11" ht="15">
      <c r="B6" s="81" t="s">
        <v>82</v>
      </c>
      <c r="C6" s="16">
        <f>TRUNC(I66)</f>
        <v>306</v>
      </c>
      <c r="D6" s="17">
        <f>TRUNC((I66-C6)*60)</f>
        <v>52</v>
      </c>
      <c r="E6" s="142">
        <f>(I66-C6-D6/60)*3600</f>
        <v>5.373127943907896</v>
      </c>
      <c r="F6" s="5"/>
      <c r="G6" s="18"/>
      <c r="H6" s="19"/>
      <c r="I6" s="28" t="s">
        <v>22</v>
      </c>
      <c r="J6" s="20"/>
      <c r="K6" s="1"/>
    </row>
    <row r="7" spans="2:9" ht="15">
      <c r="B7" s="82" t="s">
        <v>83</v>
      </c>
      <c r="C7" s="62">
        <f>TRUNC(J66)</f>
        <v>127</v>
      </c>
      <c r="D7" s="63">
        <f>TRUNC((J66-C7)*60)</f>
        <v>10</v>
      </c>
      <c r="E7" s="144">
        <f>(J66-C7-D7/60)*3600</f>
        <v>25.070262057226987</v>
      </c>
      <c r="F7" s="5"/>
      <c r="I7" s="29" t="s">
        <v>23</v>
      </c>
    </row>
    <row r="8" spans="2:8" ht="12.75">
      <c r="B8" s="32"/>
      <c r="C8" s="41"/>
      <c r="D8" s="33"/>
      <c r="E8" s="33"/>
      <c r="G8" s="32"/>
      <c r="H8" s="32"/>
    </row>
    <row r="9" spans="3:8" ht="12.75" hidden="1" outlineLevel="1">
      <c r="C9" s="67" t="s">
        <v>84</v>
      </c>
      <c r="D9" s="68"/>
      <c r="E9" s="67" t="s">
        <v>25</v>
      </c>
      <c r="G9" s="32"/>
      <c r="H9" s="32"/>
    </row>
    <row r="10" spans="2:8" ht="15" hidden="1" outlineLevel="1">
      <c r="B10" s="32" t="s">
        <v>85</v>
      </c>
      <c r="C10" s="35">
        <f>IF(C3&lt;0,-(ABS(C3)+D3/60+E3/3600),C3+D3/60+E3/3600)</f>
        <v>-37.95103341666667</v>
      </c>
      <c r="E10" s="35">
        <f>C10*PI()/180</f>
        <v>-0.6623704876552264</v>
      </c>
      <c r="G10" s="32"/>
      <c r="H10" s="32"/>
    </row>
    <row r="11" spans="2:8" ht="15" hidden="1" outlineLevel="1">
      <c r="B11" s="32" t="s">
        <v>86</v>
      </c>
      <c r="C11" s="35">
        <f>IF(C4&lt;0,-(ABS(C4)+D4/60+E4/3600),C4+D4/60+E4/3600)</f>
        <v>144.42486788888888</v>
      </c>
      <c r="E11" s="35">
        <f>C11*PI()/180</f>
        <v>2.520689466418943</v>
      </c>
      <c r="G11" s="32"/>
      <c r="H11" s="35"/>
    </row>
    <row r="12" spans="2:8" ht="15" hidden="1" outlineLevel="1">
      <c r="B12" s="32" t="s">
        <v>87</v>
      </c>
      <c r="C12" s="35">
        <f>IF(G3&lt;0,-(ABS(G3)+H3/60+I3/3600),G3+H3/60+I3/3600)</f>
        <v>-37.65282113888889</v>
      </c>
      <c r="E12" s="35">
        <f>C12*PI()/180</f>
        <v>-0.6571657015381323</v>
      </c>
      <c r="G12" s="32"/>
      <c r="H12" s="32"/>
    </row>
    <row r="13" spans="2:8" ht="15" hidden="1" outlineLevel="1">
      <c r="B13" s="32" t="s">
        <v>88</v>
      </c>
      <c r="C13" s="35">
        <f>IF(G4&lt;0,-(ABS(G4)+H4/60+I4/3600),G4+H4/60+I4/3600)</f>
        <v>143.92649552777777</v>
      </c>
      <c r="E13" s="35">
        <f>C13*PI()/180</f>
        <v>2.511991227816616</v>
      </c>
      <c r="G13" s="32"/>
      <c r="H13" s="35"/>
    </row>
    <row r="14" spans="2:8" ht="12.75" hidden="1" outlineLevel="1">
      <c r="B14" s="35"/>
      <c r="C14" s="35"/>
      <c r="D14" s="35"/>
      <c r="E14" s="35"/>
      <c r="G14" s="32"/>
      <c r="H14" s="35"/>
    </row>
    <row r="15" spans="2:8" ht="12.75" hidden="1" outlineLevel="1">
      <c r="B15" s="32" t="s">
        <v>89</v>
      </c>
      <c r="C15" s="41">
        <f>Ellipsoids!A9</f>
        <v>6378137</v>
      </c>
      <c r="D15" s="34"/>
      <c r="E15" s="33" t="s">
        <v>90</v>
      </c>
      <c r="F15" s="35">
        <f>C17+C17*C17</f>
        <v>0.0033640520205578985</v>
      </c>
      <c r="G15" s="32"/>
      <c r="H15" s="32"/>
    </row>
    <row r="16" spans="2:8" ht="12.75" hidden="1" outlineLevel="1">
      <c r="B16" s="33" t="s">
        <v>91</v>
      </c>
      <c r="C16" s="41">
        <f>C15*(1-C17)</f>
        <v>6356752.314140915</v>
      </c>
      <c r="D16" s="34"/>
      <c r="E16" s="33" t="s">
        <v>92</v>
      </c>
      <c r="F16" s="35">
        <f>F15/2</f>
        <v>0.0016820260102789492</v>
      </c>
      <c r="G16" s="32"/>
      <c r="H16" s="32"/>
    </row>
    <row r="17" spans="2:8" ht="12.75" hidden="1" outlineLevel="1">
      <c r="B17" s="33" t="s">
        <v>93</v>
      </c>
      <c r="C17" s="35">
        <f>Ellipsoids!A8</f>
        <v>0.0033528106810946363</v>
      </c>
      <c r="D17" s="33"/>
      <c r="E17" s="33" t="s">
        <v>94</v>
      </c>
      <c r="F17" s="35">
        <f>C17*C17/2</f>
        <v>5.620669731631139E-06</v>
      </c>
      <c r="G17" s="32"/>
      <c r="H17" s="32"/>
    </row>
    <row r="18" spans="2:8" ht="12.75" hidden="1" outlineLevel="1">
      <c r="B18" s="32" t="s">
        <v>95</v>
      </c>
      <c r="C18" s="35">
        <f>E13-E11</f>
        <v>-0.008698238602327102</v>
      </c>
      <c r="E18" s="6" t="s">
        <v>96</v>
      </c>
      <c r="F18" s="35">
        <f>C17*C17/8</f>
        <v>1.4051674329077848E-06</v>
      </c>
      <c r="G18" s="32"/>
      <c r="H18" s="32"/>
    </row>
    <row r="19" spans="5:8" ht="12.75" hidden="1" outlineLevel="1">
      <c r="E19" s="33" t="s">
        <v>97</v>
      </c>
      <c r="F19" s="35">
        <f>C17*C17/16</f>
        <v>7.025837164538924E-07</v>
      </c>
      <c r="G19" s="32"/>
      <c r="H19" s="32"/>
    </row>
    <row r="20" spans="2:8" ht="12.75" hidden="1" outlineLevel="1">
      <c r="B20" s="6" t="s">
        <v>98</v>
      </c>
      <c r="C20" s="136">
        <f>(1-C17)*TAN(E10)</f>
        <v>-0.7772953538496808</v>
      </c>
      <c r="E20" s="33"/>
      <c r="F20" s="32"/>
      <c r="G20" s="32"/>
      <c r="H20" s="32"/>
    </row>
    <row r="21" spans="2:8" ht="12.75" hidden="1" outlineLevel="1">
      <c r="B21" s="32" t="s">
        <v>99</v>
      </c>
      <c r="C21" s="35">
        <f>ATAN(C20)</f>
        <v>-0.6607425113522729</v>
      </c>
      <c r="D21" s="33"/>
      <c r="E21" s="65"/>
      <c r="F21" s="35"/>
      <c r="G21" s="32"/>
      <c r="H21" s="32"/>
    </row>
    <row r="22" spans="2:8" ht="12.75" hidden="1" outlineLevel="1">
      <c r="B22" s="32" t="s">
        <v>36</v>
      </c>
      <c r="C22" s="35">
        <f>SIN(C21)</f>
        <v>-0.6137032611068924</v>
      </c>
      <c r="D22" s="33"/>
      <c r="E22" s="65"/>
      <c r="F22" s="35"/>
      <c r="G22" s="32"/>
      <c r="H22" s="32"/>
    </row>
    <row r="23" spans="2:8" ht="12.75" hidden="1" outlineLevel="1">
      <c r="B23" s="32" t="s">
        <v>37</v>
      </c>
      <c r="C23" s="35">
        <f>COS(C21)</f>
        <v>0.78953676754586</v>
      </c>
      <c r="D23" s="33"/>
      <c r="E23" s="32"/>
      <c r="F23" s="35"/>
      <c r="G23" s="32"/>
      <c r="H23" s="32"/>
    </row>
    <row r="24" spans="2:8" ht="12.75" hidden="1" outlineLevel="1">
      <c r="B24" s="32" t="s">
        <v>100</v>
      </c>
      <c r="C24" s="137">
        <f>(1-C17)*TAN(E12)</f>
        <v>-0.7689864229117443</v>
      </c>
      <c r="D24" s="33"/>
      <c r="E24" s="32"/>
      <c r="F24" s="35"/>
      <c r="G24" s="32"/>
      <c r="H24" s="32"/>
    </row>
    <row r="25" spans="2:8" ht="12.75" hidden="1" outlineLevel="1">
      <c r="B25" s="32" t="s">
        <v>101</v>
      </c>
      <c r="C25" s="35">
        <f>ATAN(C24)</f>
        <v>-0.6555420968569453</v>
      </c>
      <c r="D25" s="33"/>
      <c r="E25" s="32"/>
      <c r="F25" s="35"/>
      <c r="G25" s="32"/>
      <c r="H25" s="32"/>
    </row>
    <row r="26" spans="2:8" ht="12.75" hidden="1" outlineLevel="1">
      <c r="B26" s="32" t="s">
        <v>102</v>
      </c>
      <c r="C26" s="35">
        <f>SIN(C25)</f>
        <v>-0.6095890625910821</v>
      </c>
      <c r="D26" s="33"/>
      <c r="E26" s="32"/>
      <c r="F26" s="35"/>
      <c r="G26" s="32"/>
      <c r="H26" s="32"/>
    </row>
    <row r="27" spans="2:8" ht="12.75" hidden="1" outlineLevel="1">
      <c r="B27" s="32" t="s">
        <v>103</v>
      </c>
      <c r="C27" s="35">
        <f>COS(C25)</f>
        <v>0.7927175882805463</v>
      </c>
      <c r="D27" s="33"/>
      <c r="E27" s="32"/>
      <c r="F27" s="35"/>
      <c r="G27" s="32"/>
      <c r="H27" s="32"/>
    </row>
    <row r="28" spans="2:8" ht="12.75" hidden="1" outlineLevel="1">
      <c r="B28" s="125" t="s">
        <v>104</v>
      </c>
      <c r="C28" s="35"/>
      <c r="D28" s="33"/>
      <c r="E28" s="32"/>
      <c r="F28" s="35"/>
      <c r="G28" s="32"/>
      <c r="H28" s="32"/>
    </row>
    <row r="29" spans="2:8" ht="12.75" hidden="1" outlineLevel="1">
      <c r="B29" s="65" t="s">
        <v>105</v>
      </c>
      <c r="C29" s="35">
        <f>C18</f>
        <v>-0.008698238602327102</v>
      </c>
      <c r="D29" s="33"/>
      <c r="E29" s="35">
        <f>E52</f>
        <v>-0.008716518333218707</v>
      </c>
      <c r="F29" s="35"/>
      <c r="G29" s="32"/>
      <c r="H29" s="32"/>
    </row>
    <row r="30" spans="2:8" ht="12.75" hidden="1" outlineLevel="1">
      <c r="B30" s="125" t="s">
        <v>106</v>
      </c>
      <c r="C30" s="35"/>
      <c r="D30" s="33"/>
      <c r="E30" s="66"/>
      <c r="F30" s="35"/>
      <c r="G30" s="32"/>
      <c r="H30" s="32"/>
    </row>
    <row r="31" spans="2:8" ht="15" hidden="1" outlineLevel="1">
      <c r="B31" s="66" t="s">
        <v>107</v>
      </c>
      <c r="C31" s="35">
        <f>(C27*SIN(C29)*C27*SIN(C29))+(C23*C26-C22*C27*COS(C29))*(C23*C26-C22*C27*COS(C29))</f>
        <v>7.439622059049124E-05</v>
      </c>
      <c r="D31" s="33"/>
      <c r="E31" s="35">
        <f>(C27*SIN(E29)*C27*SIN(E29))+(C23*C26-C22*C27*COS(E29))*(C23*C26-C22*C27*COS(E29))</f>
        <v>7.459545135588168E-05</v>
      </c>
      <c r="F31" s="35"/>
      <c r="G31" s="32"/>
      <c r="H31" s="32"/>
    </row>
    <row r="32" spans="2:8" ht="12.75" hidden="1" outlineLevel="1">
      <c r="B32" s="124" t="s">
        <v>108</v>
      </c>
      <c r="C32" s="35"/>
      <c r="D32" s="33"/>
      <c r="E32" s="33"/>
      <c r="F32" s="35"/>
      <c r="G32" s="32"/>
      <c r="H32" s="32"/>
    </row>
    <row r="33" spans="2:8" ht="12.75" hidden="1" outlineLevel="1">
      <c r="B33" s="6" t="s">
        <v>109</v>
      </c>
      <c r="C33" s="6">
        <f>(C22*C26)+(C23*C27*COS(C29))</f>
        <v>0.9999628011978293</v>
      </c>
      <c r="E33" s="6">
        <f>(C22*C26)+(C23*C27*COS(E29))</f>
        <v>0.999962701578736</v>
      </c>
      <c r="G33" s="32"/>
      <c r="H33" s="32"/>
    </row>
    <row r="34" spans="2:13" ht="12.75" hidden="1" outlineLevel="1">
      <c r="B34" s="134" t="s">
        <v>110</v>
      </c>
      <c r="C34" s="33"/>
      <c r="D34" s="33"/>
      <c r="E34" s="33"/>
      <c r="F34" s="32"/>
      <c r="G34" s="32"/>
      <c r="H34" s="32"/>
      <c r="L34" s="2"/>
      <c r="M34" s="1"/>
    </row>
    <row r="35" spans="2:13" ht="12.75" hidden="1" outlineLevel="1">
      <c r="B35" s="66" t="s">
        <v>111</v>
      </c>
      <c r="C35" s="35">
        <f>SQRT(C31)/C33</f>
        <v>0.00862564523962863</v>
      </c>
      <c r="D35" s="33"/>
      <c r="E35" s="35">
        <f>SQRT(E31)/E33</f>
        <v>0.008637187982923645</v>
      </c>
      <c r="F35" s="35"/>
      <c r="I35" s="58"/>
      <c r="L35" s="2"/>
      <c r="M35" s="1"/>
    </row>
    <row r="36" spans="2:13" ht="12.75" hidden="1" outlineLevel="1">
      <c r="B36" s="65" t="s">
        <v>54</v>
      </c>
      <c r="C36" s="35">
        <f>ATAN(C35)</f>
        <v>0.008625431328127538</v>
      </c>
      <c r="D36" s="33"/>
      <c r="E36" s="35">
        <f>IF(ATAN(E35)&lt;0,ATAN(E35)+PI(),ATAN(E35))</f>
        <v>0.008636973211536498</v>
      </c>
      <c r="F36" s="35"/>
      <c r="I36" s="58"/>
      <c r="L36" s="2"/>
      <c r="M36" s="1"/>
    </row>
    <row r="37" spans="2:13" ht="12.75" hidden="1" outlineLevel="1">
      <c r="B37" s="125" t="s">
        <v>112</v>
      </c>
      <c r="C37" s="35"/>
      <c r="D37" s="33"/>
      <c r="E37" s="32"/>
      <c r="F37" s="35"/>
      <c r="I37" s="58"/>
      <c r="L37" s="2"/>
      <c r="M37" s="1"/>
    </row>
    <row r="38" spans="2:13" ht="12.75" hidden="1" outlineLevel="1">
      <c r="B38" s="32" t="s">
        <v>38</v>
      </c>
      <c r="C38" s="35">
        <f>IF(C31=0,0,C23*C27*SIN(C29)/SQRT(C31))</f>
        <v>-0.631162600551554</v>
      </c>
      <c r="D38" s="33"/>
      <c r="E38" s="35">
        <f>IF(E31=0,0,C23*C27*SIN(E29)/SQRT(E31))</f>
        <v>-0.6316437872147924</v>
      </c>
      <c r="F38" s="35"/>
      <c r="G38" s="32"/>
      <c r="H38" s="32"/>
      <c r="I38" s="58"/>
      <c r="L38" s="2"/>
      <c r="M38" s="1"/>
    </row>
    <row r="39" spans="2:8" ht="12.75" hidden="1" outlineLevel="1">
      <c r="B39" s="125" t="s">
        <v>113</v>
      </c>
      <c r="C39" s="35"/>
      <c r="D39" s="33"/>
      <c r="E39" s="33"/>
      <c r="F39" s="35"/>
      <c r="G39" s="32"/>
      <c r="H39" s="32"/>
    </row>
    <row r="40" spans="2:8" ht="15.75" hidden="1" outlineLevel="1">
      <c r="B40" s="6" t="s">
        <v>114</v>
      </c>
      <c r="C40" s="6">
        <f>IF((COS(ASIN(C38))*COS(ASIN(C38)))=0,0,C33-2*C22*C26/(COS(ASIN(C38))*COS(ASIN(C38))))</f>
        <v>-0.24367348807467548</v>
      </c>
      <c r="D40" s="33"/>
      <c r="E40" s="6">
        <f>E33-2*C22*C26/(COS(ASIN(E38))*COS(ASIN(E38)))</f>
        <v>-0.2449309209052577</v>
      </c>
      <c r="F40" s="32"/>
      <c r="G40" s="32"/>
      <c r="H40" s="32"/>
    </row>
    <row r="41" spans="2:8" ht="15.75" hidden="1" outlineLevel="1">
      <c r="B41" s="6" t="s">
        <v>115</v>
      </c>
      <c r="C41" s="41">
        <f>COS(ASIN(C38))*COS(ASIN(C38))*(C15*C15-C16*C16)/(C16*C16)</f>
        <v>0.004054708864048999</v>
      </c>
      <c r="D41" s="33"/>
      <c r="E41" s="41">
        <f>COS(ASIN(E38))*COS(ASIN(E38))*(C15*C15-C16*C16)/(C16*C16)</f>
        <v>0.004050613638540883</v>
      </c>
      <c r="G41" s="32"/>
      <c r="H41" s="32"/>
    </row>
    <row r="42" spans="2:8" ht="12.75" hidden="1" outlineLevel="1">
      <c r="B42" s="114" t="s">
        <v>39</v>
      </c>
      <c r="C42" s="35"/>
      <c r="D42" s="33"/>
      <c r="E42" s="66"/>
      <c r="F42" s="35"/>
      <c r="G42" s="32"/>
      <c r="H42" s="32"/>
    </row>
    <row r="43" spans="2:8" ht="12.75" hidden="1" outlineLevel="1">
      <c r="B43" s="32" t="s">
        <v>40</v>
      </c>
      <c r="C43" s="35">
        <f>1+C41/16384*(4096+C41*(-768+C41*(320-175*C41)))</f>
        <v>1.0010129078589958</v>
      </c>
      <c r="D43" s="33"/>
      <c r="E43" s="35">
        <f>1+E41/16384*(4096+E41*(-768+E41*(320-175*E41)))</f>
        <v>1.001011885604617</v>
      </c>
      <c r="F43" s="35"/>
      <c r="G43" s="32"/>
      <c r="H43" s="32"/>
    </row>
    <row r="44" spans="2:9" ht="12.75" hidden="1" outlineLevel="1">
      <c r="B44" s="125" t="s">
        <v>41</v>
      </c>
      <c r="C44" s="35"/>
      <c r="D44" s="33"/>
      <c r="E44" s="32"/>
      <c r="F44" s="35"/>
      <c r="G44" s="32"/>
      <c r="H44" s="32"/>
      <c r="I44" s="136"/>
    </row>
    <row r="45" spans="2:8" ht="12.75" hidden="1" outlineLevel="1">
      <c r="B45" s="32" t="s">
        <v>42</v>
      </c>
      <c r="C45" s="35">
        <f>C41/1024*(256+C41*(-128+C41*(74-47*C41)))</f>
        <v>0.0010116269379883364</v>
      </c>
      <c r="D45" s="33"/>
      <c r="E45" s="35">
        <f>E41/1024*(256+E41*(-128+E41*(74-47*E41)))</f>
        <v>0.0010106072662199735</v>
      </c>
      <c r="F45" s="35"/>
      <c r="G45" s="32"/>
      <c r="H45" s="32"/>
    </row>
    <row r="46" spans="2:8" ht="12.75" hidden="1" outlineLevel="1">
      <c r="B46" s="125" t="s">
        <v>46</v>
      </c>
      <c r="C46" s="35"/>
      <c r="D46" s="33"/>
      <c r="E46" s="32"/>
      <c r="F46" s="35"/>
      <c r="G46" s="32"/>
      <c r="H46" s="32"/>
    </row>
    <row r="47" spans="2:8" ht="12.75" hidden="1" outlineLevel="1">
      <c r="B47" s="65" t="s">
        <v>52</v>
      </c>
      <c r="C47" s="35">
        <f>C45*SQRT(C31)*(C40+C45/4*(C33*(-1+2*C40*C40)-C45/6*C40*(-3+4*C31)*(-3+4*C40*C40)))</f>
        <v>-2.128143823882816E-06</v>
      </c>
      <c r="D47" s="33"/>
      <c r="E47" s="35">
        <f>E45*SQRT(E31)*(E40+E45/4*(E33*(-1+2*E40*E40)-E45/6*E40*(-3+4*E31)*(-3+4*E40*E40)))</f>
        <v>-2.139814336493944E-06</v>
      </c>
      <c r="F47" s="35"/>
      <c r="G47" s="32"/>
      <c r="H47" s="32"/>
    </row>
    <row r="48" spans="2:8" ht="12.75" hidden="1" outlineLevel="1">
      <c r="B48" s="32"/>
      <c r="C48" s="35"/>
      <c r="D48" s="33"/>
      <c r="E48" s="32"/>
      <c r="F48" s="35"/>
      <c r="G48" s="32"/>
      <c r="H48" s="32"/>
    </row>
    <row r="49" spans="2:13" ht="12.75" hidden="1" outlineLevel="1">
      <c r="B49" s="125" t="s">
        <v>66</v>
      </c>
      <c r="C49" s="35"/>
      <c r="D49" s="47"/>
      <c r="E49" s="32"/>
      <c r="F49" s="35"/>
      <c r="G49" s="32"/>
      <c r="H49" s="32"/>
      <c r="I49" s="59"/>
      <c r="M49" s="3"/>
    </row>
    <row r="50" spans="2:13" ht="12.75" hidden="1" outlineLevel="1">
      <c r="B50" s="66" t="s">
        <v>67</v>
      </c>
      <c r="C50" s="35">
        <f>C17/16*COS(ASIN(C38))*COS(ASIN(C38))*(4+C17*(4-3*COS(ASIN(C38))*COS(ASIN(C38))))</f>
        <v>0.0005052188979606517</v>
      </c>
      <c r="D50" s="47"/>
      <c r="E50" s="35">
        <f>C17/16*COS(ASIN(E38))*COS(ASIN(E38))*(4+C17*(4-3*COS(ASIN(E38))*COS(ASIN(E38))))</f>
        <v>0.0005047094004407657</v>
      </c>
      <c r="F50" s="35"/>
      <c r="G50" s="32"/>
      <c r="H50" s="32"/>
      <c r="I50" s="59"/>
      <c r="M50" s="3"/>
    </row>
    <row r="51" spans="2:13" ht="12.75" hidden="1" outlineLevel="1">
      <c r="B51" s="125" t="s">
        <v>116</v>
      </c>
      <c r="C51" s="35"/>
      <c r="D51" s="47"/>
      <c r="E51" s="32"/>
      <c r="F51" s="35"/>
      <c r="G51" s="32"/>
      <c r="H51" s="32"/>
      <c r="I51" s="59"/>
      <c r="M51" s="3"/>
    </row>
    <row r="52" spans="2:13" ht="12.75" hidden="1" outlineLevel="1">
      <c r="B52" s="140" t="s">
        <v>105</v>
      </c>
      <c r="C52" s="35">
        <f>C18+(1-C50)*C17*C38*(ACOS(C33)+C50*SIN(ACOS(C33))*(C40+C50*C33*(-1+2*C40*C40)))</f>
        <v>-0.008716479998485785</v>
      </c>
      <c r="D52" s="47"/>
      <c r="E52" s="138">
        <f>C18+(1-E50)*C17*E38*(ACOS(E33)+E50*SIN(ACOS(E33))*(E40+E50*E33*(-1+2*E40*E40)))</f>
        <v>-0.008716518333218707</v>
      </c>
      <c r="F52" s="35"/>
      <c r="G52" s="32"/>
      <c r="H52" s="32"/>
      <c r="I52" s="59"/>
      <c r="M52" s="3"/>
    </row>
    <row r="53" spans="2:13" ht="12.75" hidden="1" outlineLevel="1">
      <c r="B53" s="135" t="s">
        <v>117</v>
      </c>
      <c r="C53" s="35"/>
      <c r="D53" s="47"/>
      <c r="E53" s="65"/>
      <c r="F53" s="35"/>
      <c r="G53" s="32"/>
      <c r="H53" s="32"/>
      <c r="I53" s="7"/>
      <c r="M53" s="1"/>
    </row>
    <row r="54" spans="2:13" ht="12.75" hidden="1" outlineLevel="1">
      <c r="B54" s="32" t="s">
        <v>54</v>
      </c>
      <c r="C54" s="35">
        <f>IF(B69="samepoint",0,C16*C43*(ATAN(C35)-C47))</f>
        <v>54898.80980640366</v>
      </c>
      <c r="D54" s="47"/>
      <c r="E54" s="35">
        <f>IF(B69="samepoint",0,C16*E43*(E36-E47))</f>
        <v>54972.27113926591</v>
      </c>
      <c r="F54" s="32"/>
      <c r="G54" s="32"/>
      <c r="H54" s="32"/>
      <c r="I54" s="7"/>
      <c r="M54" s="1"/>
    </row>
    <row r="55" spans="2:13" ht="12.75" hidden="1" outlineLevel="1">
      <c r="B55" s="125" t="s">
        <v>118</v>
      </c>
      <c r="C55" s="35"/>
      <c r="D55" s="47"/>
      <c r="E55" s="35"/>
      <c r="F55" s="32"/>
      <c r="G55" s="32"/>
      <c r="H55" s="32"/>
      <c r="I55" s="7"/>
      <c r="M55" s="1"/>
    </row>
    <row r="56" spans="2:13" ht="15.75" hidden="1" outlineLevel="1">
      <c r="B56" s="32" t="s">
        <v>119</v>
      </c>
      <c r="C56" s="35"/>
      <c r="D56" s="47"/>
      <c r="E56" s="35">
        <f>C27*SIN(E52)/(C23*C26-C22*C27*COS(E52))</f>
        <v>-1.3334176188690896</v>
      </c>
      <c r="F56" s="32"/>
      <c r="G56" s="32"/>
      <c r="H56" s="32"/>
      <c r="I56" s="7"/>
      <c r="M56" s="1"/>
    </row>
    <row r="57" spans="2:13" ht="12.75" hidden="1" outlineLevel="1">
      <c r="B57" s="125" t="s">
        <v>120</v>
      </c>
      <c r="C57" s="35"/>
      <c r="D57" s="47"/>
      <c r="E57" s="35"/>
      <c r="F57" s="32"/>
      <c r="G57" s="32"/>
      <c r="H57" s="32"/>
      <c r="I57" s="7"/>
      <c r="M57" s="1"/>
    </row>
    <row r="58" spans="2:13" ht="15" hidden="1" outlineLevel="1">
      <c r="B58" s="32" t="s">
        <v>121</v>
      </c>
      <c r="C58" s="35"/>
      <c r="D58" s="47"/>
      <c r="E58" s="35">
        <f>C23*SIN(C52)/(-C22*C27+C23*C26*COS(C52))</f>
        <v>-1.3187053992755757</v>
      </c>
      <c r="F58" s="32"/>
      <c r="G58" s="32"/>
      <c r="H58" s="32"/>
      <c r="I58" s="7"/>
      <c r="M58" s="1"/>
    </row>
    <row r="59" spans="2:13" ht="12.75" hidden="1" outlineLevel="1">
      <c r="B59" s="32"/>
      <c r="C59" s="35"/>
      <c r="D59" s="47"/>
      <c r="E59" s="66"/>
      <c r="F59" s="35"/>
      <c r="G59" s="32"/>
      <c r="H59" s="32"/>
      <c r="I59" s="7"/>
      <c r="M59" s="1"/>
    </row>
    <row r="60" spans="2:13" ht="12.75" hidden="1" outlineLevel="1">
      <c r="B60" s="32"/>
      <c r="C60" s="91"/>
      <c r="E60" s="66"/>
      <c r="F60" s="35"/>
      <c r="G60" s="32"/>
      <c r="H60" s="32"/>
      <c r="I60" s="7"/>
      <c r="M60" s="1"/>
    </row>
    <row r="61" spans="2:13" ht="12.75" hidden="1" outlineLevel="1">
      <c r="B61" s="32"/>
      <c r="C61" s="32"/>
      <c r="E61" s="33"/>
      <c r="F61" s="47"/>
      <c r="G61" s="32"/>
      <c r="H61" s="32"/>
      <c r="I61" s="7"/>
      <c r="M61" s="1"/>
    </row>
    <row r="62" spans="2:13" ht="12.75" hidden="1" outlineLevel="1">
      <c r="B62" s="70" t="s">
        <v>122</v>
      </c>
      <c r="C62" s="70"/>
      <c r="D62" s="33"/>
      <c r="E62" s="70" t="s">
        <v>123</v>
      </c>
      <c r="F62" s="70"/>
      <c r="G62" s="32"/>
      <c r="H62" s="32"/>
      <c r="I62" s="7"/>
      <c r="M62" s="1"/>
    </row>
    <row r="63" spans="2:10" ht="15" hidden="1" outlineLevel="1">
      <c r="B63" s="69" t="s">
        <v>124</v>
      </c>
      <c r="C63" s="35">
        <f>ATAN(E56)</f>
        <v>-0.9273255595669447</v>
      </c>
      <c r="E63" s="69" t="s">
        <v>125</v>
      </c>
      <c r="F63" s="35">
        <f>ATAN(E58)</f>
        <v>-0.9219919748735452</v>
      </c>
      <c r="G63" s="32"/>
      <c r="H63" s="32"/>
      <c r="I63" s="7">
        <f>ATAN2(E12-E10,E13-E11)*180/PI()</f>
        <v>-59.10486126121235</v>
      </c>
      <c r="J63" s="7">
        <f>ATAN2(E10-E12,E11-E13)*180/PI()</f>
        <v>120.89513873878765</v>
      </c>
    </row>
    <row r="64" spans="2:10" ht="15" hidden="1" outlineLevel="1">
      <c r="B64" s="69" t="s">
        <v>126</v>
      </c>
      <c r="C64" s="35">
        <f>(C63/PI())*180+360</f>
        <v>306.86815920220664</v>
      </c>
      <c r="E64" s="69" t="s">
        <v>127</v>
      </c>
      <c r="F64" s="35">
        <f>(F63/PI())*180+180</f>
        <v>127.17375109481401</v>
      </c>
      <c r="G64" s="32"/>
      <c r="H64" s="32"/>
      <c r="I64" s="7">
        <f>IF(I63&lt;0,C63*180/PI()+360,C63*180/PI())</f>
        <v>306.86815920220664</v>
      </c>
      <c r="J64" s="129">
        <f>IF(J63&gt;0,F63*180/PI()+180,F63*180/PI())</f>
        <v>127.17375109481401</v>
      </c>
    </row>
    <row r="65" spans="2:10" ht="15" hidden="1" outlineLevel="1">
      <c r="B65" s="69" t="s">
        <v>126</v>
      </c>
      <c r="C65" s="35">
        <f>IF(C64&gt;=360,C64-360,C64)</f>
        <v>306.86815920220664</v>
      </c>
      <c r="E65" s="69" t="s">
        <v>127</v>
      </c>
      <c r="F65" s="35">
        <f>IF(F64&gt;=360,F64-360,F64)</f>
        <v>127.17375109481401</v>
      </c>
      <c r="G65" s="32"/>
      <c r="H65" s="32"/>
      <c r="I65" s="7">
        <f>ATAN2((C23*C26-C22*C27*COS(E52)),C27*SIN(E52))</f>
        <v>-0.9273255595669447</v>
      </c>
      <c r="J65" s="35">
        <f>ATAN2((-C22*C27+C23*C26*COS(E52)),C23*SIN(E52))</f>
        <v>-0.9219940774099941</v>
      </c>
    </row>
    <row r="66" spans="2:10" ht="15" hidden="1" outlineLevel="1">
      <c r="B66" s="69" t="s">
        <v>126</v>
      </c>
      <c r="C66" s="35">
        <f>IF(B69="samepoint",0,IF(B70="northsouth",0,IF(B71="southnorth",180,C65)))</f>
        <v>306.86815920220664</v>
      </c>
      <c r="E66" s="69" t="s">
        <v>127</v>
      </c>
      <c r="F66" s="35">
        <f>IF(B69="samepoint",0,IF(B70="northsouth",180,IF(B71="southnorth",0,F65)))</f>
        <v>127.17375109481401</v>
      </c>
      <c r="I66" s="35">
        <f>IF(B69="samepoint",0,IF(B70="northsouth",0,IF(B71="southnorth",180,IF(I65&lt;0,I65*180/PI()+360,I65*180/PI()))))</f>
        <v>306.86815920220664</v>
      </c>
      <c r="J66" s="35">
        <f>IF(B69="samepoint",0,IF(B70="northsouth",180,IF(B71="southnorth",0,J65*180/PI()+180)))</f>
        <v>127.17363062834923</v>
      </c>
    </row>
    <row r="67" spans="2:5" ht="12.75" hidden="1" outlineLevel="1">
      <c r="B67" s="69"/>
      <c r="E67" s="69"/>
    </row>
    <row r="68" spans="2:3" ht="12.75" hidden="1" outlineLevel="1">
      <c r="B68" s="71" t="s">
        <v>128</v>
      </c>
      <c r="C68" s="71"/>
    </row>
    <row r="69" spans="2:3" ht="12.75" hidden="1" outlineLevel="1">
      <c r="B69" s="6" t="str">
        <f>IF(AND(C10=C12,C11=C13),"samepoint","N.A. ")</f>
        <v>N.A. </v>
      </c>
      <c r="C69" s="6" t="s">
        <v>129</v>
      </c>
    </row>
    <row r="70" spans="2:3" ht="12.75" hidden="1" outlineLevel="1">
      <c r="B70" s="6" t="str">
        <f>IF(AND(C11=C13,C12&gt;C10),"northsouth","N.A. ")</f>
        <v>N.A. </v>
      </c>
      <c r="C70" s="6" t="s">
        <v>130</v>
      </c>
    </row>
    <row r="71" spans="2:3" ht="12.75" hidden="1" outlineLevel="1">
      <c r="B71" s="6" t="str">
        <f>IF(AND(C11=C13,C10&gt;C12),"southnorth","N.A. ")</f>
        <v>N.A. </v>
      </c>
      <c r="C71" s="6" t="s">
        <v>131</v>
      </c>
    </row>
    <row r="72" ht="12.75" collapsed="1"/>
  </sheetData>
  <printOptions gridLines="1"/>
  <pageMargins left="0.25" right="0.13" top="0.76" bottom="0.71" header="0.5" footer="0.5"/>
  <pageSetup horizontalDpi="180" verticalDpi="180" orientation="portrait" paperSize="9" scale="80" r:id="rId5"/>
  <headerFooter alignWithMargins="0">
    <oddHeader>&amp;C&amp;F&amp;RInverse Solution</oddHeader>
    <oddFooter>&amp;L&amp;D&amp;CGDA Technical Mmanual</oddFooter>
  </headerFooter>
  <drawing r:id="rId4"/>
  <legacyDrawing r:id="rId3"/>
  <oleObjects>
    <oleObject progId="Equation.3" shapeId="43383985" r:id="rId1"/>
    <oleObject progId="Equation.3" shapeId="43409745" r:id="rId2"/>
  </oleObjects>
</worksheet>
</file>

<file path=xl/worksheets/sheet4.xml><?xml version="1.0" encoding="utf-8"?>
<worksheet xmlns="http://schemas.openxmlformats.org/spreadsheetml/2006/main" xmlns:r="http://schemas.openxmlformats.org/officeDocument/2006/relationships">
  <sheetPr>
    <pageSetUpPr fitToPage="1"/>
  </sheetPr>
  <dimension ref="A1:I9"/>
  <sheetViews>
    <sheetView showGridLines="0" workbookViewId="0" topLeftCell="A1">
      <selection activeCell="D18" sqref="D18"/>
    </sheetView>
  </sheetViews>
  <sheetFormatPr defaultColWidth="9.140625" defaultRowHeight="12.75"/>
  <cols>
    <col min="1" max="1" width="5.140625" style="0" customWidth="1"/>
    <col min="2" max="2" width="18.7109375" style="0" customWidth="1"/>
    <col min="3" max="3" width="16.8515625" style="0" customWidth="1"/>
    <col min="4" max="4" width="5.140625" style="0" customWidth="1"/>
    <col min="5" max="5" width="10.140625" style="0" customWidth="1"/>
    <col min="6" max="6" width="14.00390625" style="55" customWidth="1"/>
    <col min="7" max="7" width="12.57421875" style="0" customWidth="1"/>
    <col min="8" max="8" width="4.8515625" style="0" customWidth="1"/>
  </cols>
  <sheetData>
    <row r="1" spans="1:6" ht="12.75">
      <c r="A1" s="53"/>
      <c r="B1" s="53"/>
      <c r="C1" s="53"/>
      <c r="D1" s="3"/>
      <c r="E1" s="3"/>
      <c r="F1" s="54"/>
    </row>
    <row r="2" spans="1:6" ht="12.75">
      <c r="A2" s="3"/>
      <c r="B2" s="3"/>
      <c r="C2" s="3"/>
      <c r="D2" s="3"/>
      <c r="E2" s="3"/>
      <c r="F2" s="54"/>
    </row>
    <row r="3" spans="2:9" ht="12.75">
      <c r="B3" s="109" t="s">
        <v>9</v>
      </c>
      <c r="C3" s="110" t="s">
        <v>0</v>
      </c>
      <c r="D3" s="4"/>
      <c r="E3" s="4"/>
      <c r="F3" s="4"/>
      <c r="G3" s="111"/>
      <c r="H3" s="4"/>
      <c r="I3" s="112"/>
    </row>
    <row r="4" spans="2:9" ht="17.25">
      <c r="B4" s="113" t="s">
        <v>10</v>
      </c>
      <c r="C4" s="60" t="s">
        <v>11</v>
      </c>
      <c r="D4" s="6"/>
      <c r="E4" s="6"/>
      <c r="F4" s="114" t="s">
        <v>12</v>
      </c>
      <c r="G4" s="60" t="s">
        <v>13</v>
      </c>
      <c r="H4" s="6"/>
      <c r="I4" s="9"/>
    </row>
    <row r="5" spans="2:9" ht="15">
      <c r="B5" s="113" t="s">
        <v>132</v>
      </c>
      <c r="C5" s="14">
        <v>-37</v>
      </c>
      <c r="D5" s="15">
        <v>57</v>
      </c>
      <c r="E5" s="89">
        <v>3.7203</v>
      </c>
      <c r="F5" s="114" t="s">
        <v>133</v>
      </c>
      <c r="G5" s="14">
        <v>-37</v>
      </c>
      <c r="H5" s="15">
        <v>39</v>
      </c>
      <c r="I5" s="90">
        <v>10.1561</v>
      </c>
    </row>
    <row r="6" spans="2:9" ht="15">
      <c r="B6" s="113" t="s">
        <v>134</v>
      </c>
      <c r="C6" s="14">
        <v>144</v>
      </c>
      <c r="D6" s="15">
        <v>25</v>
      </c>
      <c r="E6" s="89">
        <v>29.5244</v>
      </c>
      <c r="F6" s="114" t="s">
        <v>135</v>
      </c>
      <c r="G6" s="14">
        <v>143</v>
      </c>
      <c r="H6" s="15">
        <v>55</v>
      </c>
      <c r="I6" s="90">
        <v>35.3839</v>
      </c>
    </row>
    <row r="7" spans="2:9" ht="12.75">
      <c r="B7" s="113" t="s">
        <v>80</v>
      </c>
      <c r="C7" s="107">
        <v>54972.271</v>
      </c>
      <c r="D7" s="89"/>
      <c r="E7" s="89"/>
      <c r="F7" s="6"/>
      <c r="G7" s="115"/>
      <c r="H7" s="6"/>
      <c r="I7" s="9"/>
    </row>
    <row r="8" spans="2:9" ht="15">
      <c r="B8" s="113" t="s">
        <v>136</v>
      </c>
      <c r="C8" s="14">
        <v>306</v>
      </c>
      <c r="D8" s="15">
        <v>52</v>
      </c>
      <c r="E8" s="108">
        <v>5.373222069651895</v>
      </c>
      <c r="F8" s="6"/>
      <c r="G8" s="115"/>
      <c r="H8" s="6"/>
      <c r="I8" s="9"/>
    </row>
    <row r="9" spans="2:9" ht="15">
      <c r="B9" s="119" t="s">
        <v>137</v>
      </c>
      <c r="C9" s="120">
        <v>127</v>
      </c>
      <c r="D9" s="121">
        <v>10</v>
      </c>
      <c r="E9" s="122">
        <v>25.070355144237087</v>
      </c>
      <c r="F9" s="116"/>
      <c r="G9" s="117"/>
      <c r="H9" s="116"/>
      <c r="I9" s="118"/>
    </row>
  </sheetData>
  <sheetProtection sheet="1" objects="1" scenarios="1"/>
  <printOptions/>
  <pageMargins left="0.75" right="0.75" top="1" bottom="1" header="0.5" footer="0.5"/>
  <pageSetup fitToHeight="1" fitToWidth="1" horizontalDpi="600" verticalDpi="600" orientation="portrait" paperSize="9" scale="89" r:id="rId1"/>
  <headerFooter alignWithMargins="0">
    <oddHeader>&amp;C&amp;F&amp;RTest Data</oddHeader>
    <oddFooter>&amp;L&amp;D&amp;CGDA Technical Manual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Redfearn's formulae</dc:title>
  <dc:subject>Geodetic technical Manual</dc:subject>
  <dc:creator>Jim Steed</dc:creator>
  <cp:keywords>Redfearns Ellipsoid geodetic calculations</cp:keywords>
  <dc:description>Calculates ellipsoid parameters and converts UTM coords to geodetic coordinates and vice versa.</dc:description>
  <cp:lastModifiedBy>mkuhar</cp:lastModifiedBy>
  <cp:lastPrinted>1999-11-15T21:51:43Z</cp:lastPrinted>
  <dcterms:created xsi:type="dcterms:W3CDTF">1998-12-04T21:58:19Z</dcterms:created>
  <dcterms:modified xsi:type="dcterms:W3CDTF">2003-10-31T09:54:27Z</dcterms:modified>
  <cp:category/>
  <cp:version/>
  <cp:contentType/>
  <cp:contentStatus/>
</cp:coreProperties>
</file>